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320" windowHeight="11760" tabRatio="601" activeTab="17"/>
  </bookViews>
  <sheets>
    <sheet name="1" sheetId="28" r:id="rId1"/>
    <sheet name="2" sheetId="2" r:id="rId2"/>
    <sheet name="3" sheetId="41" r:id="rId3"/>
    <sheet name="4" sheetId="7" r:id="rId4"/>
    <sheet name="5" sheetId="5" r:id="rId5"/>
    <sheet name="6" sheetId="30" r:id="rId6"/>
    <sheet name="7" sheetId="6" r:id="rId7"/>
    <sheet name="8" sheetId="1" r:id="rId8"/>
    <sheet name="9" sheetId="32" r:id="rId9"/>
    <sheet name="10" sheetId="11" r:id="rId10"/>
    <sheet name="11" sheetId="29" r:id="rId11"/>
    <sheet name="12" sheetId="10" r:id="rId12"/>
    <sheet name="13" sheetId="15" r:id="rId13"/>
    <sheet name="14" sheetId="4" r:id="rId14"/>
    <sheet name="15" sheetId="13" r:id="rId15"/>
    <sheet name="16" sheetId="35" r:id="rId16"/>
    <sheet name="17" sheetId="12" r:id="rId17"/>
    <sheet name="18" sheetId="43" r:id="rId18"/>
    <sheet name="t1" sheetId="42" state="hidden" r:id="rId19"/>
    <sheet name="t2" sheetId="17" state="hidden" r:id="rId20"/>
    <sheet name="t3" sheetId="34" state="hidden" r:id="rId21"/>
    <sheet name="t4" sheetId="16" state="hidden" r:id="rId22"/>
    <sheet name="Munka2" sheetId="44" state="hidden" r:id="rId23"/>
  </sheets>
  <definedNames>
    <definedName name="_xlnm.Print_Titles" localSheetId="11">'12'!$2:$4</definedName>
    <definedName name="_xlnm.Print_Titles" localSheetId="3">'4'!$1:$2</definedName>
    <definedName name="_xlnm.Print_Titles" localSheetId="4">'5'!$1:$2</definedName>
    <definedName name="_xlnm.Print_Titles" localSheetId="6">'7'!$1:$2</definedName>
    <definedName name="_xlnm.Print_Titles" localSheetId="7">'8'!$1:$2</definedName>
    <definedName name="_xlnm.Print_Titles" localSheetId="8">'9'!$1:$2</definedName>
    <definedName name="_xlnm.Print_Area" localSheetId="9">'10'!$A$1:$N$85</definedName>
    <definedName name="_xlnm.Print_Area" localSheetId="10">'11'!$A$1:$J$138</definedName>
    <definedName name="_xlnm.Print_Area" localSheetId="11">'12'!$A$1:$L$27</definedName>
    <definedName name="_xlnm.Print_Area" localSheetId="12">'13'!$A$1:$K$18</definedName>
    <definedName name="_xlnm.Print_Area" localSheetId="13">'14'!$A$1:$D$17</definedName>
    <definedName name="_xlnm.Print_Area" localSheetId="14">'15'!$A$1:$T$13</definedName>
    <definedName name="_xlnm.Print_Area" localSheetId="15">'16'!$A$1:$R$12</definedName>
    <definedName name="_xlnm.Print_Area" localSheetId="16">'17'!$A$1:$J$62</definedName>
    <definedName name="_xlnm.Print_Area" localSheetId="1">'2'!$A$1:$W$23</definedName>
    <definedName name="_xlnm.Print_Area" localSheetId="2">'3'!$A$2:$Z$25</definedName>
    <definedName name="_xlnm.Print_Area" localSheetId="3">'4'!$A$1:$P$171</definedName>
    <definedName name="_xlnm.Print_Area" localSheetId="4">'5'!$A$1:$N$159</definedName>
    <definedName name="_xlnm.Print_Area" localSheetId="5">'6'!$A$1:$P$29</definedName>
    <definedName name="_xlnm.Print_Area" localSheetId="6">'7'!$A$1:$P$184</definedName>
    <definedName name="_xlnm.Print_Area" localSheetId="7">'8'!$A$1:$N$198</definedName>
    <definedName name="_xlnm.Print_Area" localSheetId="8">'9'!$A$1:$N$93</definedName>
    <definedName name="_xlnm.Print_Area" localSheetId="18">'t1'!$A$1:$P$23</definedName>
    <definedName name="_xlnm.Print_Area" localSheetId="19">'t2'!$A$1:$O$28</definedName>
    <definedName name="_xlnm.Print_Area" localSheetId="20">'t3'!$A$1:$G$79</definedName>
    <definedName name="_xlnm.Print_Area" localSheetId="21">'t4'!$A$1:$L$22</definedName>
  </definedNames>
  <calcPr calcId="145621"/>
</workbook>
</file>

<file path=xl/calcChain.xml><?xml version="1.0" encoding="utf-8"?>
<calcChain xmlns="http://schemas.openxmlformats.org/spreadsheetml/2006/main">
  <c r="M10" i="35" l="1"/>
  <c r="J127" i="5" l="1"/>
  <c r="J17" i="15"/>
  <c r="N6" i="43"/>
  <c r="L16" i="30" l="1"/>
  <c r="J50" i="5" l="1"/>
  <c r="L105" i="5"/>
  <c r="M105" i="5"/>
  <c r="J37" i="1"/>
  <c r="N12" i="43" l="1"/>
  <c r="N9" i="43"/>
  <c r="L17" i="5" l="1"/>
  <c r="J17" i="5"/>
  <c r="M187" i="1" l="1"/>
  <c r="J107" i="5"/>
  <c r="J88" i="5"/>
  <c r="L122" i="6"/>
  <c r="L121" i="6"/>
  <c r="L77" i="7"/>
  <c r="L78" i="7"/>
  <c r="J51" i="5"/>
  <c r="J16" i="5"/>
  <c r="J149" i="5"/>
  <c r="J197" i="1"/>
  <c r="J98" i="5"/>
  <c r="J70" i="5"/>
  <c r="J53" i="5"/>
  <c r="O52" i="5"/>
  <c r="J39" i="5"/>
  <c r="J33" i="5"/>
  <c r="J13" i="5"/>
  <c r="J5" i="5"/>
  <c r="J42" i="11"/>
  <c r="J16" i="15"/>
  <c r="L25" i="7"/>
  <c r="J90" i="32"/>
  <c r="J114" i="5"/>
  <c r="J113" i="5"/>
  <c r="G142" i="5"/>
  <c r="I142" i="5" s="1"/>
  <c r="K142" i="5" s="1"/>
  <c r="J14" i="11"/>
  <c r="M11" i="11"/>
  <c r="L85" i="6"/>
  <c r="L86" i="6"/>
  <c r="L89" i="6"/>
  <c r="L90" i="6"/>
  <c r="L92" i="6"/>
  <c r="O82" i="6"/>
  <c r="J105" i="5" l="1"/>
  <c r="M149" i="5"/>
  <c r="J45" i="11"/>
  <c r="L53" i="11"/>
  <c r="M53" i="11"/>
  <c r="M171" i="1"/>
  <c r="J95" i="5"/>
  <c r="J91" i="5" s="1"/>
  <c r="J89" i="5"/>
  <c r="J87" i="5" s="1"/>
  <c r="J86" i="5"/>
  <c r="J85" i="5"/>
  <c r="L64" i="7"/>
  <c r="L52" i="7"/>
  <c r="L40" i="7"/>
  <c r="L28" i="7"/>
  <c r="L4" i="7"/>
  <c r="L124" i="7"/>
  <c r="L76" i="7" s="1"/>
  <c r="L162" i="6"/>
  <c r="L97" i="6"/>
  <c r="L127" i="6"/>
  <c r="L88" i="6" s="1"/>
  <c r="L161" i="6"/>
  <c r="L160" i="6"/>
  <c r="L148" i="6"/>
  <c r="L147" i="6"/>
  <c r="L110" i="6"/>
  <c r="L109" i="6"/>
  <c r="L108" i="6"/>
  <c r="L71" i="6"/>
  <c r="L70" i="6"/>
  <c r="L69" i="6"/>
  <c r="L57" i="6"/>
  <c r="L43" i="6"/>
  <c r="L31" i="7"/>
  <c r="L32" i="6"/>
  <c r="L31" i="6"/>
  <c r="L30" i="6"/>
  <c r="L17" i="6"/>
  <c r="L5" i="6"/>
  <c r="L4" i="6"/>
  <c r="L6" i="6"/>
  <c r="L28" i="30"/>
  <c r="H16" i="15"/>
  <c r="E13" i="15"/>
  <c r="G13" i="15" s="1"/>
  <c r="I13" i="15" s="1"/>
  <c r="K103" i="5"/>
  <c r="J157" i="1"/>
  <c r="J187" i="1" s="1"/>
  <c r="K110" i="5"/>
  <c r="H17" i="15"/>
  <c r="J43" i="32"/>
  <c r="J48" i="32" s="1"/>
  <c r="L18" i="6"/>
  <c r="L83" i="6" l="1"/>
  <c r="L160" i="7"/>
  <c r="L82" i="6"/>
  <c r="L84" i="6"/>
  <c r="J84" i="5"/>
  <c r="J83" i="5" s="1"/>
  <c r="L6" i="30"/>
  <c r="L5" i="30" s="1"/>
  <c r="L70" i="5" l="1"/>
  <c r="K77" i="5"/>
  <c r="K76" i="5"/>
  <c r="K75" i="5"/>
  <c r="L48" i="5"/>
  <c r="J48" i="5"/>
  <c r="J4" i="5" s="1"/>
  <c r="J3" i="5" s="1"/>
  <c r="J5" i="2" s="1"/>
  <c r="K52" i="5"/>
  <c r="G51" i="5"/>
  <c r="K51" i="5" s="1"/>
  <c r="G50" i="5"/>
  <c r="K50" i="5" s="1"/>
  <c r="O51" i="5"/>
  <c r="O12" i="5"/>
  <c r="E12" i="5"/>
  <c r="G12" i="5" s="1"/>
  <c r="I12" i="5" s="1"/>
  <c r="K12" i="5" s="1"/>
  <c r="O49" i="5" l="1"/>
  <c r="O50" i="5"/>
  <c r="I23" i="41"/>
  <c r="I22" i="41"/>
  <c r="I19" i="41"/>
  <c r="J21" i="2"/>
  <c r="J20" i="2"/>
  <c r="J17" i="2"/>
  <c r="U15" i="2"/>
  <c r="J19" i="2" l="1"/>
  <c r="I21" i="41"/>
  <c r="K52" i="11"/>
  <c r="K51" i="11"/>
  <c r="K50" i="11"/>
  <c r="K49" i="11"/>
  <c r="K48" i="11"/>
  <c r="J84" i="11"/>
  <c r="J89" i="32" s="1"/>
  <c r="J79" i="11"/>
  <c r="J192" i="1" s="1"/>
  <c r="J64" i="11"/>
  <c r="J59" i="11"/>
  <c r="J58" i="11"/>
  <c r="L181" i="6"/>
  <c r="L180" i="6"/>
  <c r="L179" i="6"/>
  <c r="L169" i="6"/>
  <c r="L165" i="6"/>
  <c r="L156" i="6"/>
  <c r="L152" i="6"/>
  <c r="L143" i="6"/>
  <c r="L139" i="6"/>
  <c r="L130" i="6"/>
  <c r="L126" i="6"/>
  <c r="L117" i="6"/>
  <c r="L113" i="6"/>
  <c r="L104" i="6"/>
  <c r="L100" i="6"/>
  <c r="L177" i="6"/>
  <c r="L176" i="6"/>
  <c r="L175" i="6"/>
  <c r="L174" i="6"/>
  <c r="L173" i="6"/>
  <c r="L78" i="6"/>
  <c r="L74" i="6"/>
  <c r="L65" i="6"/>
  <c r="L61" i="6"/>
  <c r="L52" i="6"/>
  <c r="L48" i="6"/>
  <c r="L39" i="6"/>
  <c r="L35" i="6"/>
  <c r="L26" i="6"/>
  <c r="L22" i="6"/>
  <c r="L13" i="6"/>
  <c r="L9" i="6"/>
  <c r="J53" i="11"/>
  <c r="J191" i="1"/>
  <c r="J11" i="11"/>
  <c r="J18" i="11" s="1"/>
  <c r="J186" i="1"/>
  <c r="J185" i="1"/>
  <c r="J183" i="1"/>
  <c r="J177" i="1"/>
  <c r="J171" i="1"/>
  <c r="J165" i="1"/>
  <c r="J159" i="1"/>
  <c r="J153" i="1"/>
  <c r="J147" i="1"/>
  <c r="J140" i="1"/>
  <c r="J134" i="1"/>
  <c r="J128" i="1"/>
  <c r="J122" i="1"/>
  <c r="J115" i="1"/>
  <c r="J109" i="1"/>
  <c r="J102" i="1"/>
  <c r="J89" i="1"/>
  <c r="J83" i="1"/>
  <c r="J76" i="1"/>
  <c r="J70" i="1"/>
  <c r="J63" i="1"/>
  <c r="J57" i="1"/>
  <c r="J51" i="1"/>
  <c r="J45" i="1"/>
  <c r="J39" i="1"/>
  <c r="J33" i="1"/>
  <c r="J27" i="1"/>
  <c r="J21" i="1"/>
  <c r="J15" i="1"/>
  <c r="J9" i="1"/>
  <c r="I19" i="10"/>
  <c r="H20" i="10"/>
  <c r="J193" i="1" s="1"/>
  <c r="H7" i="10"/>
  <c r="H5" i="10" s="1"/>
  <c r="J189" i="1" s="1"/>
  <c r="P13" i="13"/>
  <c r="J94" i="1" s="1"/>
  <c r="O11" i="35"/>
  <c r="N12" i="35"/>
  <c r="K101" i="5"/>
  <c r="K96" i="5"/>
  <c r="J156" i="5"/>
  <c r="J153" i="5" s="1"/>
  <c r="J145" i="5"/>
  <c r="J140" i="5"/>
  <c r="J139" i="5" s="1"/>
  <c r="J134" i="5"/>
  <c r="J129" i="5"/>
  <c r="J121" i="5"/>
  <c r="J117" i="5"/>
  <c r="J78" i="5"/>
  <c r="J69" i="5" s="1"/>
  <c r="V14" i="41" l="1"/>
  <c r="L106" i="6"/>
  <c r="L158" i="6"/>
  <c r="L182" i="6"/>
  <c r="L91" i="6"/>
  <c r="L87" i="6"/>
  <c r="L93" i="6" s="1"/>
  <c r="L28" i="6"/>
  <c r="L54" i="6"/>
  <c r="L80" i="6"/>
  <c r="J88" i="32"/>
  <c r="J91" i="32" s="1"/>
  <c r="L132" i="6"/>
  <c r="L145" i="6"/>
  <c r="L119" i="6"/>
  <c r="L171" i="6"/>
  <c r="L67" i="6"/>
  <c r="L41" i="6"/>
  <c r="L15" i="6"/>
  <c r="J119" i="5"/>
  <c r="J97" i="5" s="1"/>
  <c r="J144" i="5"/>
  <c r="J188" i="1"/>
  <c r="J190" i="1" s="1"/>
  <c r="J95" i="1"/>
  <c r="L178" i="6"/>
  <c r="H27" i="10"/>
  <c r="U12" i="2"/>
  <c r="J85" i="11"/>
  <c r="J194" i="1"/>
  <c r="V15" i="41"/>
  <c r="U13" i="2"/>
  <c r="K49" i="5"/>
  <c r="K48" i="5" s="1"/>
  <c r="J54" i="11"/>
  <c r="J86" i="32"/>
  <c r="U9" i="2" s="1"/>
  <c r="J85" i="32"/>
  <c r="J84" i="32"/>
  <c r="V9" i="41" s="1"/>
  <c r="J83" i="32"/>
  <c r="V8" i="41" s="1"/>
  <c r="J82" i="32"/>
  <c r="V7" i="41" s="1"/>
  <c r="J80" i="32"/>
  <c r="J73" i="32"/>
  <c r="J65" i="32"/>
  <c r="J57" i="32"/>
  <c r="J50" i="32"/>
  <c r="J40" i="32"/>
  <c r="J33" i="32"/>
  <c r="J25" i="32"/>
  <c r="J17" i="32"/>
  <c r="J10" i="32"/>
  <c r="U8" i="2" l="1"/>
  <c r="V10" i="41"/>
  <c r="V11" i="41"/>
  <c r="W11" i="41" s="1"/>
  <c r="J198" i="1"/>
  <c r="U11" i="2"/>
  <c r="U10" i="2" s="1"/>
  <c r="V13" i="41"/>
  <c r="L184" i="6"/>
  <c r="J87" i="32"/>
  <c r="J93" i="32" s="1"/>
  <c r="U6" i="2"/>
  <c r="V12" i="41"/>
  <c r="U7" i="2"/>
  <c r="U5" i="2"/>
  <c r="L24" i="30"/>
  <c r="L17" i="30"/>
  <c r="L12" i="30"/>
  <c r="V6" i="41" l="1"/>
  <c r="V16" i="41" s="1"/>
  <c r="V20" i="41" s="1"/>
  <c r="V24" i="41" s="1"/>
  <c r="L10" i="30"/>
  <c r="L29" i="30" s="1"/>
  <c r="U4" i="2"/>
  <c r="U14" i="2" s="1"/>
  <c r="U18" i="2" s="1"/>
  <c r="U22" i="2" s="1"/>
  <c r="L155" i="7"/>
  <c r="L158" i="7" s="1"/>
  <c r="L143" i="7"/>
  <c r="L146" i="7" s="1"/>
  <c r="L131" i="7"/>
  <c r="L134" i="7" s="1"/>
  <c r="L119" i="7"/>
  <c r="L122" i="7" s="1"/>
  <c r="L107" i="7"/>
  <c r="L110" i="7" s="1"/>
  <c r="L95" i="7"/>
  <c r="L98" i="7" s="1"/>
  <c r="L85" i="7"/>
  <c r="L169" i="7" s="1"/>
  <c r="L84" i="7"/>
  <c r="L168" i="7" s="1"/>
  <c r="I17" i="41" s="1"/>
  <c r="L82" i="7"/>
  <c r="L166" i="7" s="1"/>
  <c r="L81" i="7"/>
  <c r="L165" i="7" s="1"/>
  <c r="I10" i="41" s="1"/>
  <c r="L80" i="7"/>
  <c r="L164" i="7" s="1"/>
  <c r="L79" i="7"/>
  <c r="L163" i="7" s="1"/>
  <c r="L162" i="7"/>
  <c r="J6" i="2" s="1"/>
  <c r="L161" i="7"/>
  <c r="L71" i="7"/>
  <c r="L74" i="7" s="1"/>
  <c r="L59" i="7"/>
  <c r="L47" i="7"/>
  <c r="L50" i="7" s="1"/>
  <c r="L35" i="7"/>
  <c r="L38" i="7" s="1"/>
  <c r="L23" i="7"/>
  <c r="L26" i="7" s="1"/>
  <c r="L11" i="7"/>
  <c r="J7" i="2" l="1"/>
  <c r="I9" i="41"/>
  <c r="J11" i="2"/>
  <c r="I13" i="41"/>
  <c r="I8" i="41"/>
  <c r="J13" i="2"/>
  <c r="I15" i="41"/>
  <c r="I7" i="41"/>
  <c r="J8" i="2"/>
  <c r="L14" i="7"/>
  <c r="I18" i="41"/>
  <c r="L62" i="7"/>
  <c r="L83" i="7"/>
  <c r="L86" i="7" s="1"/>
  <c r="H5" i="11"/>
  <c r="I6" i="41" l="1"/>
  <c r="L167" i="7"/>
  <c r="J4" i="2"/>
  <c r="L170" i="7"/>
  <c r="L91" i="5"/>
  <c r="H91" i="5"/>
  <c r="H187" i="1"/>
  <c r="L140" i="1"/>
  <c r="O140" i="1" s="1"/>
  <c r="H140" i="1"/>
  <c r="G140" i="1"/>
  <c r="F140" i="1"/>
  <c r="D140" i="1"/>
  <c r="C140" i="1"/>
  <c r="O139" i="1"/>
  <c r="I139" i="1"/>
  <c r="K139" i="1" s="1"/>
  <c r="E139" i="1"/>
  <c r="O138" i="1"/>
  <c r="I138" i="1"/>
  <c r="K138" i="1" s="1"/>
  <c r="O137" i="1"/>
  <c r="I137" i="1"/>
  <c r="K137" i="1" s="1"/>
  <c r="E137" i="1"/>
  <c r="O136" i="1"/>
  <c r="I136" i="1"/>
  <c r="E136" i="1"/>
  <c r="O135" i="1"/>
  <c r="E140" i="1" l="1"/>
  <c r="I140" i="1"/>
  <c r="K136" i="1"/>
  <c r="K140" i="1" s="1"/>
  <c r="L186" i="1"/>
  <c r="L183" i="1" l="1"/>
  <c r="O183" i="1" s="1"/>
  <c r="H183" i="1"/>
  <c r="G183" i="1"/>
  <c r="F183" i="1"/>
  <c r="D183" i="1"/>
  <c r="C183" i="1"/>
  <c r="O182" i="1"/>
  <c r="I182" i="1"/>
  <c r="K182" i="1" s="1"/>
  <c r="E182" i="1"/>
  <c r="O181" i="1"/>
  <c r="I181" i="1"/>
  <c r="K181" i="1" s="1"/>
  <c r="O180" i="1"/>
  <c r="I180" i="1"/>
  <c r="K180" i="1" s="1"/>
  <c r="E180" i="1"/>
  <c r="O179" i="1"/>
  <c r="I179" i="1"/>
  <c r="K179" i="1" s="1"/>
  <c r="E179" i="1"/>
  <c r="O178" i="1"/>
  <c r="L177" i="1"/>
  <c r="O177" i="1" s="1"/>
  <c r="H177" i="1"/>
  <c r="G177" i="1"/>
  <c r="F177" i="1"/>
  <c r="D177" i="1"/>
  <c r="C177" i="1"/>
  <c r="O176" i="1"/>
  <c r="I176" i="1"/>
  <c r="K176" i="1" s="1"/>
  <c r="E176" i="1"/>
  <c r="O175" i="1"/>
  <c r="I175" i="1"/>
  <c r="K175" i="1" s="1"/>
  <c r="O174" i="1"/>
  <c r="I174" i="1"/>
  <c r="K174" i="1" s="1"/>
  <c r="E174" i="1"/>
  <c r="O173" i="1"/>
  <c r="I173" i="1"/>
  <c r="K173" i="1" s="1"/>
  <c r="E173" i="1"/>
  <c r="O172" i="1"/>
  <c r="L171" i="1"/>
  <c r="H171" i="1"/>
  <c r="G171" i="1"/>
  <c r="F171" i="1"/>
  <c r="D171" i="1"/>
  <c r="C171" i="1"/>
  <c r="O170" i="1"/>
  <c r="I170" i="1"/>
  <c r="K170" i="1" s="1"/>
  <c r="E170" i="1"/>
  <c r="O169" i="1"/>
  <c r="I169" i="1"/>
  <c r="K169" i="1" s="1"/>
  <c r="O168" i="1"/>
  <c r="I168" i="1"/>
  <c r="K168" i="1" s="1"/>
  <c r="E168" i="1"/>
  <c r="O167" i="1"/>
  <c r="I167" i="1"/>
  <c r="K167" i="1" s="1"/>
  <c r="E167" i="1"/>
  <c r="O166" i="1"/>
  <c r="M98" i="5"/>
  <c r="H98" i="5"/>
  <c r="K171" i="1" l="1"/>
  <c r="K177" i="1"/>
  <c r="K183" i="1"/>
  <c r="E177" i="1"/>
  <c r="I171" i="1"/>
  <c r="E183" i="1"/>
  <c r="I183" i="1"/>
  <c r="I177" i="1"/>
  <c r="E171" i="1"/>
  <c r="H53" i="11"/>
  <c r="J28" i="30"/>
  <c r="F5" i="10"/>
  <c r="J6" i="6"/>
  <c r="J13" i="7"/>
  <c r="L12" i="35" l="1"/>
  <c r="H38" i="32" s="1"/>
  <c r="P12" i="35"/>
  <c r="L38" i="32" s="1"/>
  <c r="O10" i="35"/>
  <c r="Q10" i="35" s="1"/>
  <c r="Q12" i="35" s="1"/>
  <c r="M9" i="35"/>
  <c r="O9" i="35" s="1"/>
  <c r="M8" i="35"/>
  <c r="O8" i="35" s="1"/>
  <c r="M7" i="35"/>
  <c r="O7" i="35" s="1"/>
  <c r="M6" i="35"/>
  <c r="O6" i="35" s="1"/>
  <c r="M5" i="35"/>
  <c r="O5" i="35" s="1"/>
  <c r="O12" i="35" l="1"/>
  <c r="H44" i="32"/>
  <c r="H43" i="32"/>
  <c r="J122" i="6" l="1"/>
  <c r="J121" i="6"/>
  <c r="J82" i="6" s="1"/>
  <c r="J85" i="7"/>
  <c r="J169" i="7" s="1"/>
  <c r="J84" i="7"/>
  <c r="J70" i="6"/>
  <c r="J69" i="6"/>
  <c r="J57" i="6"/>
  <c r="J56" i="6"/>
  <c r="J44" i="6"/>
  <c r="J43" i="6"/>
  <c r="J31" i="6"/>
  <c r="J30" i="6"/>
  <c r="J18" i="6"/>
  <c r="J17" i="6"/>
  <c r="J5" i="6"/>
  <c r="J4" i="6"/>
  <c r="G15" i="41" l="1"/>
  <c r="J168" i="7" l="1"/>
  <c r="N40" i="6" l="1"/>
  <c r="J10" i="6" l="1"/>
  <c r="J179" i="6" s="1"/>
  <c r="J181" i="6"/>
  <c r="J180" i="6"/>
  <c r="J86" i="6"/>
  <c r="J177" i="6" s="1"/>
  <c r="J85" i="6"/>
  <c r="J176" i="6" s="1"/>
  <c r="J84" i="6"/>
  <c r="J175" i="6" s="1"/>
  <c r="J83" i="6"/>
  <c r="J174" i="6" s="1"/>
  <c r="J173" i="6"/>
  <c r="J82" i="7"/>
  <c r="J166" i="7" s="1"/>
  <c r="J81" i="7"/>
  <c r="J165" i="7" s="1"/>
  <c r="G10" i="41" s="1"/>
  <c r="J80" i="7"/>
  <c r="J164" i="7" s="1"/>
  <c r="J79" i="7"/>
  <c r="J163" i="7" s="1"/>
  <c r="J78" i="7"/>
  <c r="J162" i="7" s="1"/>
  <c r="J77" i="7"/>
  <c r="J161" i="7" s="1"/>
  <c r="G13" i="41" s="1"/>
  <c r="J76" i="7"/>
  <c r="J160" i="7" l="1"/>
  <c r="G23" i="41"/>
  <c r="G22" i="41"/>
  <c r="G19" i="41"/>
  <c r="G18" i="41"/>
  <c r="H21" i="2"/>
  <c r="H20" i="2"/>
  <c r="H17" i="2"/>
  <c r="H197" i="1"/>
  <c r="S15" i="2" s="1"/>
  <c r="H186" i="1"/>
  <c r="H185" i="1"/>
  <c r="H165" i="1"/>
  <c r="I164" i="1"/>
  <c r="K164" i="1" s="1"/>
  <c r="I162" i="1"/>
  <c r="K162" i="1" s="1"/>
  <c r="I161" i="1"/>
  <c r="K161" i="1" s="1"/>
  <c r="H159" i="1"/>
  <c r="I158" i="1"/>
  <c r="K158" i="1" s="1"/>
  <c r="H153" i="1"/>
  <c r="I150" i="1"/>
  <c r="K150" i="1" s="1"/>
  <c r="I149" i="1"/>
  <c r="K149" i="1" s="1"/>
  <c r="H147" i="1"/>
  <c r="H134" i="1"/>
  <c r="H128" i="1"/>
  <c r="H122" i="1"/>
  <c r="H115" i="1"/>
  <c r="H109" i="1"/>
  <c r="H102" i="1"/>
  <c r="H89" i="1"/>
  <c r="H83" i="1"/>
  <c r="H76" i="1"/>
  <c r="H70" i="1"/>
  <c r="H63" i="1"/>
  <c r="H57" i="1"/>
  <c r="H51" i="1"/>
  <c r="H45" i="1"/>
  <c r="H39" i="1"/>
  <c r="H33" i="1"/>
  <c r="H27" i="1"/>
  <c r="H21" i="1"/>
  <c r="H15" i="1"/>
  <c r="H9" i="1"/>
  <c r="H90" i="32"/>
  <c r="H88" i="32"/>
  <c r="H84" i="11"/>
  <c r="H89" i="32" s="1"/>
  <c r="I83" i="11"/>
  <c r="K83" i="11" s="1"/>
  <c r="H79" i="11"/>
  <c r="H192" i="1" s="1"/>
  <c r="H58" i="11"/>
  <c r="H59" i="11"/>
  <c r="H64" i="11"/>
  <c r="I47" i="11"/>
  <c r="K47" i="11" s="1"/>
  <c r="H42" i="11"/>
  <c r="I41" i="11"/>
  <c r="K41" i="11" s="1"/>
  <c r="I40" i="11"/>
  <c r="K40" i="11" s="1"/>
  <c r="I23" i="11"/>
  <c r="K23" i="11" s="1"/>
  <c r="H11" i="11"/>
  <c r="H18" i="11" s="1"/>
  <c r="I6" i="11"/>
  <c r="K6" i="11" s="1"/>
  <c r="I5" i="11"/>
  <c r="K5" i="11" s="1"/>
  <c r="H189" i="1"/>
  <c r="H54" i="11" l="1"/>
  <c r="H19" i="2"/>
  <c r="S12" i="2"/>
  <c r="G21" i="41"/>
  <c r="H191" i="1"/>
  <c r="H71" i="11"/>
  <c r="H85" i="11" s="1"/>
  <c r="T14" i="41"/>
  <c r="H91" i="32"/>
  <c r="N13" i="13"/>
  <c r="H94" i="1" s="1"/>
  <c r="O12" i="13"/>
  <c r="Q12" i="13" s="1"/>
  <c r="H86" i="32"/>
  <c r="H85" i="32"/>
  <c r="H84" i="32"/>
  <c r="H83" i="32"/>
  <c r="H82" i="32"/>
  <c r="S5" i="2" s="1"/>
  <c r="N16" i="43" s="1"/>
  <c r="H80" i="32"/>
  <c r="H73" i="32"/>
  <c r="H65" i="32"/>
  <c r="H57" i="32"/>
  <c r="H50" i="32"/>
  <c r="H48" i="32"/>
  <c r="H40" i="32"/>
  <c r="H33" i="32"/>
  <c r="H25" i="32"/>
  <c r="H17" i="32"/>
  <c r="H10" i="32"/>
  <c r="J182" i="6"/>
  <c r="J178" i="6"/>
  <c r="J169" i="6"/>
  <c r="J165" i="6"/>
  <c r="J156" i="6"/>
  <c r="J152" i="6"/>
  <c r="J143" i="6"/>
  <c r="J139" i="6"/>
  <c r="J130" i="6"/>
  <c r="J126" i="6"/>
  <c r="J117" i="6"/>
  <c r="J113" i="6"/>
  <c r="J104" i="6"/>
  <c r="J100" i="6"/>
  <c r="J91" i="6"/>
  <c r="J87" i="6"/>
  <c r="J78" i="6"/>
  <c r="J74" i="6"/>
  <c r="J65" i="6"/>
  <c r="J61" i="6"/>
  <c r="J52" i="6"/>
  <c r="J48" i="6"/>
  <c r="J39" i="6"/>
  <c r="J35" i="6"/>
  <c r="J26" i="6"/>
  <c r="J22" i="6"/>
  <c r="J13" i="6"/>
  <c r="J9" i="6"/>
  <c r="J24" i="30"/>
  <c r="J17" i="30"/>
  <c r="J12" i="30"/>
  <c r="K11" i="30"/>
  <c r="M11" i="30" s="1"/>
  <c r="J6" i="30"/>
  <c r="I100" i="5"/>
  <c r="K100" i="5" s="1"/>
  <c r="H156" i="5"/>
  <c r="G17" i="41" s="1"/>
  <c r="H149" i="5"/>
  <c r="H145" i="5"/>
  <c r="H140" i="5"/>
  <c r="H139" i="5" s="1"/>
  <c r="H8" i="2" s="1"/>
  <c r="I8" i="2" s="1"/>
  <c r="H137" i="5"/>
  <c r="H134" i="5"/>
  <c r="H129" i="5"/>
  <c r="H121" i="5"/>
  <c r="H117" i="5"/>
  <c r="I116" i="5"/>
  <c r="K116" i="5" s="1"/>
  <c r="H105" i="5"/>
  <c r="H87" i="5"/>
  <c r="H84" i="5"/>
  <c r="H78" i="5"/>
  <c r="I73" i="5"/>
  <c r="K73" i="5" s="1"/>
  <c r="H70" i="5"/>
  <c r="I68" i="5"/>
  <c r="K68" i="5" s="1"/>
  <c r="I67" i="5"/>
  <c r="K67" i="5" s="1"/>
  <c r="I66" i="5"/>
  <c r="K66" i="5" s="1"/>
  <c r="I65" i="5"/>
  <c r="K65" i="5" s="1"/>
  <c r="I63" i="5"/>
  <c r="K63" i="5" s="1"/>
  <c r="H53" i="5"/>
  <c r="H48" i="5" s="1"/>
  <c r="I47" i="5"/>
  <c r="K47" i="5" s="1"/>
  <c r="I46" i="5"/>
  <c r="K46" i="5" s="1"/>
  <c r="I45" i="5"/>
  <c r="K45" i="5" s="1"/>
  <c r="H39" i="5"/>
  <c r="I38" i="5"/>
  <c r="K38" i="5" s="1"/>
  <c r="I37" i="5"/>
  <c r="K37" i="5" s="1"/>
  <c r="I36" i="5"/>
  <c r="K36" i="5" s="1"/>
  <c r="H33" i="5"/>
  <c r="H17" i="5"/>
  <c r="H16" i="5" s="1"/>
  <c r="H13" i="5"/>
  <c r="H5" i="5"/>
  <c r="H83" i="5" l="1"/>
  <c r="H128" i="5"/>
  <c r="H12" i="2" s="1"/>
  <c r="H144" i="5"/>
  <c r="H13" i="2" s="1"/>
  <c r="J15" i="6"/>
  <c r="J28" i="6"/>
  <c r="J93" i="6"/>
  <c r="J106" i="6"/>
  <c r="J119" i="6"/>
  <c r="J132" i="6"/>
  <c r="J145" i="6"/>
  <c r="J158" i="6"/>
  <c r="J171" i="6"/>
  <c r="H6" i="2"/>
  <c r="N7" i="43" s="1"/>
  <c r="G8" i="41"/>
  <c r="J41" i="6"/>
  <c r="J54" i="6"/>
  <c r="J67" i="6"/>
  <c r="J80" i="6"/>
  <c r="H188" i="1"/>
  <c r="H95" i="1"/>
  <c r="O11" i="30"/>
  <c r="H69" i="5"/>
  <c r="H11" i="2" s="1"/>
  <c r="T9" i="41"/>
  <c r="S7" i="2"/>
  <c r="S9" i="2"/>
  <c r="N20" i="43" s="1"/>
  <c r="T11" i="41"/>
  <c r="H153" i="5"/>
  <c r="H119" i="5"/>
  <c r="H97" i="5" s="1"/>
  <c r="G14" i="41"/>
  <c r="G12" i="41" s="1"/>
  <c r="S11" i="2"/>
  <c r="N21" i="43" s="1"/>
  <c r="T13" i="41"/>
  <c r="H87" i="32"/>
  <c r="H93" i="32" s="1"/>
  <c r="T8" i="41"/>
  <c r="S6" i="2"/>
  <c r="N17" i="43" s="1"/>
  <c r="T7" i="41"/>
  <c r="J10" i="30"/>
  <c r="H4" i="5"/>
  <c r="H3" i="5" s="1"/>
  <c r="J155" i="7"/>
  <c r="J143" i="7"/>
  <c r="J131" i="7"/>
  <c r="J134" i="7" s="1"/>
  <c r="J119" i="7"/>
  <c r="J122" i="7" s="1"/>
  <c r="J107" i="7"/>
  <c r="J95" i="7"/>
  <c r="J71" i="7"/>
  <c r="J59" i="7"/>
  <c r="J62" i="7" s="1"/>
  <c r="J47" i="7"/>
  <c r="J35" i="7"/>
  <c r="J23" i="7"/>
  <c r="J26" i="7" s="1"/>
  <c r="H10" i="2" l="1"/>
  <c r="J184" i="6"/>
  <c r="G9" i="41"/>
  <c r="T10" i="41"/>
  <c r="T6" i="41" s="1"/>
  <c r="S8" i="2"/>
  <c r="N19" i="43" s="1"/>
  <c r="H190" i="1"/>
  <c r="H7" i="2"/>
  <c r="N8" i="43" s="1"/>
  <c r="J29" i="30"/>
  <c r="H159" i="5"/>
  <c r="G7" i="41"/>
  <c r="H5" i="2"/>
  <c r="H4" i="2" s="1"/>
  <c r="H14" i="2" s="1"/>
  <c r="H18" i="2" s="1"/>
  <c r="H22" i="2" s="1"/>
  <c r="J158" i="7"/>
  <c r="J146" i="7"/>
  <c r="J110" i="7"/>
  <c r="J83" i="7"/>
  <c r="J86" i="7" s="1"/>
  <c r="J98" i="7"/>
  <c r="J74" i="7"/>
  <c r="J50" i="7"/>
  <c r="J38" i="7"/>
  <c r="M22" i="43"/>
  <c r="S4" i="2" l="1"/>
  <c r="G6" i="41"/>
  <c r="G16" i="41" s="1"/>
  <c r="G20" i="41" s="1"/>
  <c r="G24" i="41" s="1"/>
  <c r="O154" i="1"/>
  <c r="O155" i="1"/>
  <c r="O156" i="1"/>
  <c r="O157" i="1"/>
  <c r="O158" i="1"/>
  <c r="O160" i="1"/>
  <c r="O161" i="1"/>
  <c r="O162" i="1"/>
  <c r="O163" i="1"/>
  <c r="O164" i="1"/>
  <c r="O148" i="1"/>
  <c r="O149" i="1"/>
  <c r="O150" i="1"/>
  <c r="O151" i="1"/>
  <c r="O152" i="1"/>
  <c r="F43" i="32" l="1"/>
  <c r="F44" i="32"/>
  <c r="H28" i="30"/>
  <c r="L19" i="41"/>
  <c r="S17" i="41"/>
  <c r="U17" i="41" s="1"/>
  <c r="W17" i="41" s="1"/>
  <c r="F15" i="41"/>
  <c r="H15" i="41" s="1"/>
  <c r="J15" i="41" s="1"/>
  <c r="F13" i="41"/>
  <c r="H13" i="41" s="1"/>
  <c r="J13" i="41" s="1"/>
  <c r="F10" i="41"/>
  <c r="H10" i="41" s="1"/>
  <c r="J10" i="41" s="1"/>
  <c r="F9" i="41"/>
  <c r="H9" i="41" s="1"/>
  <c r="J9" i="41" s="1"/>
  <c r="F8" i="41"/>
  <c r="H8" i="41" s="1"/>
  <c r="J8" i="41" s="1"/>
  <c r="F7" i="41"/>
  <c r="H7" i="41" s="1"/>
  <c r="J7" i="41" s="1"/>
  <c r="F187" i="1"/>
  <c r="F98" i="5"/>
  <c r="F53" i="5"/>
  <c r="F48" i="5" s="1"/>
  <c r="F42" i="11"/>
  <c r="M42" i="11"/>
  <c r="F155" i="5"/>
  <c r="F70" i="5"/>
  <c r="O74" i="5"/>
  <c r="G74" i="5"/>
  <c r="I74" i="5" s="1"/>
  <c r="K74" i="5" s="1"/>
  <c r="F39" i="5"/>
  <c r="G64" i="5"/>
  <c r="I64" i="5" s="1"/>
  <c r="K64" i="5" s="1"/>
  <c r="E149" i="5"/>
  <c r="J6" i="41" l="1"/>
  <c r="H6" i="41"/>
  <c r="F17" i="15"/>
  <c r="L13" i="13"/>
  <c r="R13" i="13"/>
  <c r="F4" i="15"/>
  <c r="F16" i="15" s="1"/>
  <c r="H18" i="6"/>
  <c r="H17" i="6"/>
  <c r="H25" i="7"/>
  <c r="F45" i="32"/>
  <c r="F89" i="6" l="1"/>
  <c r="H122" i="6" l="1"/>
  <c r="H121" i="6"/>
  <c r="H5" i="6"/>
  <c r="H4" i="6"/>
  <c r="H155" i="7"/>
  <c r="H158" i="7" s="1"/>
  <c r="H143" i="7"/>
  <c r="H146" i="7" s="1"/>
  <c r="H107" i="7"/>
  <c r="H110" i="7" s="1"/>
  <c r="H95" i="7"/>
  <c r="H98" i="7" s="1"/>
  <c r="H71" i="7"/>
  <c r="H74" i="7" s="1"/>
  <c r="H59" i="7"/>
  <c r="H62" i="7" s="1"/>
  <c r="H47" i="7"/>
  <c r="H50" i="7" s="1"/>
  <c r="H11" i="7"/>
  <c r="H14" i="7" s="1"/>
  <c r="H23" i="7"/>
  <c r="H35" i="7"/>
  <c r="H38" i="7" s="1"/>
  <c r="H6" i="6"/>
  <c r="H65" i="6"/>
  <c r="H61" i="6"/>
  <c r="F64" i="11"/>
  <c r="H76" i="7"/>
  <c r="H160" i="7" s="1"/>
  <c r="H77" i="7"/>
  <c r="H161" i="7" s="1"/>
  <c r="H80" i="7"/>
  <c r="H164" i="7" s="1"/>
  <c r="H81" i="7"/>
  <c r="H84" i="7"/>
  <c r="H168" i="7" s="1"/>
  <c r="H85" i="7"/>
  <c r="H169" i="7" s="1"/>
  <c r="H122" i="7"/>
  <c r="H82" i="7"/>
  <c r="H166" i="7" s="1"/>
  <c r="H79" i="7"/>
  <c r="H163" i="7" s="1"/>
  <c r="H78" i="7"/>
  <c r="H162" i="7" s="1"/>
  <c r="H131" i="7"/>
  <c r="H134" i="7" s="1"/>
  <c r="H67" i="6" l="1"/>
  <c r="E18" i="41"/>
  <c r="H83" i="7"/>
  <c r="H86" i="7"/>
  <c r="H165" i="7"/>
  <c r="L83" i="11"/>
  <c r="F84" i="11"/>
  <c r="M83" i="11" l="1"/>
  <c r="O83" i="11" s="1"/>
  <c r="F5" i="5"/>
  <c r="G163" i="1" l="1"/>
  <c r="I163" i="1" s="1"/>
  <c r="G155" i="1"/>
  <c r="I155" i="1" s="1"/>
  <c r="G156" i="1"/>
  <c r="I156" i="1" s="1"/>
  <c r="K156" i="1" s="1"/>
  <c r="G157" i="1"/>
  <c r="I157" i="1" s="1"/>
  <c r="K157" i="1" s="1"/>
  <c r="G151" i="1"/>
  <c r="I151" i="1" s="1"/>
  <c r="K151" i="1" s="1"/>
  <c r="E79" i="11"/>
  <c r="G39" i="11"/>
  <c r="I39" i="11" s="1"/>
  <c r="K39" i="11" s="1"/>
  <c r="G38" i="11"/>
  <c r="I38" i="11" s="1"/>
  <c r="K38" i="11" s="1"/>
  <c r="G37" i="11"/>
  <c r="I37" i="11" s="1"/>
  <c r="K37" i="11" s="1"/>
  <c r="G36" i="11"/>
  <c r="I36" i="11" s="1"/>
  <c r="K36" i="11" s="1"/>
  <c r="G35" i="11"/>
  <c r="I35" i="11" s="1"/>
  <c r="K35" i="11" s="1"/>
  <c r="G34" i="11"/>
  <c r="I34" i="11" s="1"/>
  <c r="K34" i="11" s="1"/>
  <c r="G33" i="11"/>
  <c r="I33" i="11" s="1"/>
  <c r="K33" i="11" s="1"/>
  <c r="G32" i="11"/>
  <c r="I32" i="11" s="1"/>
  <c r="K32" i="11" s="1"/>
  <c r="G31" i="11"/>
  <c r="I31" i="11" s="1"/>
  <c r="K31" i="11" s="1"/>
  <c r="M11" i="13"/>
  <c r="O11" i="13" s="1"/>
  <c r="Q11" i="13" s="1"/>
  <c r="E6" i="15"/>
  <c r="E7" i="15"/>
  <c r="E8" i="15"/>
  <c r="E11" i="15"/>
  <c r="E15" i="15"/>
  <c r="I165" i="1" l="1"/>
  <c r="K163" i="1"/>
  <c r="K165" i="1" s="1"/>
  <c r="I159" i="1"/>
  <c r="K155" i="1"/>
  <c r="K159" i="1" s="1"/>
  <c r="H92" i="6"/>
  <c r="H183" i="6" s="1"/>
  <c r="H90" i="6"/>
  <c r="H181" i="6" s="1"/>
  <c r="H89" i="6"/>
  <c r="H180" i="6" s="1"/>
  <c r="H88" i="6"/>
  <c r="H179" i="6" s="1"/>
  <c r="H86" i="6"/>
  <c r="H177" i="6" s="1"/>
  <c r="H85" i="6"/>
  <c r="H176" i="6" s="1"/>
  <c r="H84" i="6"/>
  <c r="H175" i="6" s="1"/>
  <c r="H83" i="6"/>
  <c r="H174" i="6" s="1"/>
  <c r="H82" i="6"/>
  <c r="H173" i="6" s="1"/>
  <c r="H169" i="6"/>
  <c r="H165" i="6"/>
  <c r="H156" i="6"/>
  <c r="H152" i="6"/>
  <c r="H143" i="6"/>
  <c r="H139" i="6"/>
  <c r="H130" i="6"/>
  <c r="H126" i="6"/>
  <c r="H117" i="6"/>
  <c r="H113" i="6"/>
  <c r="H104" i="6"/>
  <c r="H100" i="6"/>
  <c r="H78" i="6"/>
  <c r="H74" i="6"/>
  <c r="H52" i="6"/>
  <c r="H48" i="6"/>
  <c r="H39" i="6"/>
  <c r="H35" i="6"/>
  <c r="H26" i="6"/>
  <c r="H22" i="6"/>
  <c r="H13" i="6"/>
  <c r="H9" i="6"/>
  <c r="H41" i="6" l="1"/>
  <c r="H80" i="6"/>
  <c r="H119" i="6"/>
  <c r="H145" i="6"/>
  <c r="H171" i="6"/>
  <c r="H54" i="6"/>
  <c r="H106" i="6"/>
  <c r="H158" i="6"/>
  <c r="H28" i="6"/>
  <c r="H15" i="6"/>
  <c r="H91" i="6"/>
  <c r="H182" i="6" s="1"/>
  <c r="H87" i="6"/>
  <c r="H178" i="6" s="1"/>
  <c r="H132" i="6"/>
  <c r="H93" i="6" l="1"/>
  <c r="H184" i="6" s="1"/>
  <c r="H17" i="30" l="1"/>
  <c r="H6" i="30" l="1"/>
  <c r="H5" i="30" l="1"/>
  <c r="H24" i="30" l="1"/>
  <c r="H29" i="30" l="1"/>
  <c r="F4" i="6" l="1"/>
  <c r="F13" i="7" l="1"/>
  <c r="F5" i="6"/>
  <c r="O6" i="43" l="1"/>
  <c r="O7" i="43"/>
  <c r="M185" i="1" l="1"/>
  <c r="L185" i="1"/>
  <c r="M186" i="1"/>
  <c r="F186" i="1"/>
  <c r="F185" i="1"/>
  <c r="O35" i="11"/>
  <c r="F79" i="11"/>
  <c r="G78" i="11"/>
  <c r="I78" i="11" s="1"/>
  <c r="K78" i="11" s="1"/>
  <c r="G77" i="11"/>
  <c r="I77" i="11" s="1"/>
  <c r="K77" i="11" s="1"/>
  <c r="G76" i="11" l="1"/>
  <c r="I76" i="11" s="1"/>
  <c r="K76" i="11" s="1"/>
  <c r="O152" i="5"/>
  <c r="G152" i="5"/>
  <c r="I152" i="5" s="1"/>
  <c r="K152" i="5" s="1"/>
  <c r="F149" i="5"/>
  <c r="M165" i="1"/>
  <c r="L165" i="1"/>
  <c r="G165" i="1"/>
  <c r="F165" i="1"/>
  <c r="D165" i="1"/>
  <c r="C165" i="1"/>
  <c r="E164" i="1"/>
  <c r="E162" i="1"/>
  <c r="E161" i="1"/>
  <c r="M159" i="1"/>
  <c r="L159" i="1"/>
  <c r="G159" i="1"/>
  <c r="F159" i="1"/>
  <c r="D159" i="1"/>
  <c r="C159" i="1"/>
  <c r="E158" i="1"/>
  <c r="E159" i="1" s="1"/>
  <c r="M153" i="1"/>
  <c r="L153" i="1"/>
  <c r="F153" i="1"/>
  <c r="D153" i="1"/>
  <c r="C153" i="1"/>
  <c r="E152" i="1"/>
  <c r="G152" i="1" s="1"/>
  <c r="E150" i="1"/>
  <c r="E149" i="1"/>
  <c r="O159" i="1" l="1"/>
  <c r="O153" i="1"/>
  <c r="O165" i="1"/>
  <c r="G153" i="1"/>
  <c r="I152" i="1"/>
  <c r="E165" i="1"/>
  <c r="E153" i="1"/>
  <c r="O32" i="11"/>
  <c r="F94" i="1"/>
  <c r="O31" i="11"/>
  <c r="F105" i="5"/>
  <c r="O116" i="5"/>
  <c r="F6" i="6"/>
  <c r="F97" i="6"/>
  <c r="F97" i="7"/>
  <c r="I153" i="1" l="1"/>
  <c r="K152" i="1"/>
  <c r="K153" i="1" s="1"/>
  <c r="F25" i="7"/>
  <c r="F28" i="30" l="1"/>
  <c r="F122" i="6"/>
  <c r="F121" i="6"/>
  <c r="F70" i="6"/>
  <c r="F69" i="6"/>
  <c r="F57" i="6"/>
  <c r="F56" i="6"/>
  <c r="F44" i="6"/>
  <c r="F43" i="6"/>
  <c r="F37" i="7"/>
  <c r="F18" i="6"/>
  <c r="F17" i="6"/>
  <c r="G19" i="30" l="1"/>
  <c r="I19" i="30" s="1"/>
  <c r="K19" i="30" s="1"/>
  <c r="M19" i="30" s="1"/>
  <c r="O19" i="30" s="1"/>
  <c r="D20" i="30"/>
  <c r="E20" i="30"/>
  <c r="G20" i="30" s="1"/>
  <c r="I20" i="30" s="1"/>
  <c r="K20" i="30" s="1"/>
  <c r="M20" i="30" s="1"/>
  <c r="O20" i="30" s="1"/>
  <c r="G15" i="30"/>
  <c r="I15" i="30" s="1"/>
  <c r="K15" i="30" s="1"/>
  <c r="M15" i="30" s="1"/>
  <c r="O15" i="30" s="1"/>
  <c r="F84" i="6" l="1"/>
  <c r="F82" i="7"/>
  <c r="F166" i="7" s="1"/>
  <c r="F81" i="7"/>
  <c r="F80" i="7"/>
  <c r="F164" i="7" s="1"/>
  <c r="F79" i="7"/>
  <c r="F163" i="7" s="1"/>
  <c r="F78" i="7"/>
  <c r="F162" i="7" s="1"/>
  <c r="F77" i="7"/>
  <c r="F161" i="7" s="1"/>
  <c r="F76" i="7"/>
  <c r="F4" i="7"/>
  <c r="F83" i="6"/>
  <c r="F82" i="6"/>
  <c r="F74" i="6"/>
  <c r="F175" i="6"/>
  <c r="F6" i="30"/>
  <c r="F5" i="30" s="1"/>
  <c r="G9" i="30"/>
  <c r="I9" i="30" s="1"/>
  <c r="K9" i="30" s="1"/>
  <c r="M9" i="30" s="1"/>
  <c r="N9" i="30" s="1"/>
  <c r="F53" i="11"/>
  <c r="F88" i="32" s="1"/>
  <c r="F25" i="30"/>
  <c r="F82" i="32"/>
  <c r="Q5" i="2" s="1"/>
  <c r="F11" i="7"/>
  <c r="F85" i="7"/>
  <c r="F83" i="7" s="1"/>
  <c r="F143" i="7"/>
  <c r="F146" i="7" s="1"/>
  <c r="F131" i="7"/>
  <c r="F134" i="7" s="1"/>
  <c r="F95" i="7"/>
  <c r="F98" i="7" s="1"/>
  <c r="F71" i="7"/>
  <c r="F74" i="7" s="1"/>
  <c r="F47" i="7"/>
  <c r="F50" i="7" s="1"/>
  <c r="F23" i="7"/>
  <c r="F26" i="7" s="1"/>
  <c r="K8" i="16"/>
  <c r="K13" i="16"/>
  <c r="K20" i="16"/>
  <c r="K19" i="16"/>
  <c r="E21" i="42"/>
  <c r="G21" i="42"/>
  <c r="E20" i="42"/>
  <c r="G20" i="42"/>
  <c r="G17" i="42"/>
  <c r="H9" i="42"/>
  <c r="G15" i="15"/>
  <c r="K15" i="15" s="1"/>
  <c r="G26" i="10"/>
  <c r="I26" i="10" s="1"/>
  <c r="J20" i="10"/>
  <c r="F20" i="10"/>
  <c r="F192" i="1"/>
  <c r="F63" i="11"/>
  <c r="F62" i="11"/>
  <c r="F61" i="11"/>
  <c r="F60" i="11"/>
  <c r="F59" i="11"/>
  <c r="F58" i="11"/>
  <c r="F191" i="1"/>
  <c r="F11" i="11"/>
  <c r="F18" i="11" s="1"/>
  <c r="F90" i="32"/>
  <c r="F89" i="32"/>
  <c r="F86" i="32"/>
  <c r="F85" i="32"/>
  <c r="F84" i="32"/>
  <c r="F83" i="32"/>
  <c r="Q6" i="2" s="1"/>
  <c r="F80" i="32"/>
  <c r="D73" i="32"/>
  <c r="F73" i="32"/>
  <c r="C73" i="32"/>
  <c r="F65" i="32"/>
  <c r="F57" i="32"/>
  <c r="F50" i="32"/>
  <c r="F40" i="32"/>
  <c r="F33" i="32"/>
  <c r="F25" i="32"/>
  <c r="F17" i="32"/>
  <c r="F10" i="32"/>
  <c r="F197" i="1"/>
  <c r="Q15" i="2" s="1"/>
  <c r="R15" i="2" s="1"/>
  <c r="T15" i="2" s="1"/>
  <c r="V15" i="2" s="1"/>
  <c r="G196" i="1"/>
  <c r="I196" i="1" s="1"/>
  <c r="K196" i="1" s="1"/>
  <c r="G195" i="1"/>
  <c r="I195" i="1" s="1"/>
  <c r="K195" i="1" s="1"/>
  <c r="F188" i="1"/>
  <c r="F147" i="1"/>
  <c r="F134" i="1"/>
  <c r="F128" i="1"/>
  <c r="F122" i="1"/>
  <c r="F115" i="1"/>
  <c r="F109" i="1"/>
  <c r="F102" i="1"/>
  <c r="F95" i="1"/>
  <c r="F89" i="1"/>
  <c r="F83" i="1"/>
  <c r="F76" i="1"/>
  <c r="F70" i="1"/>
  <c r="F63" i="1"/>
  <c r="F57" i="1"/>
  <c r="F51" i="1"/>
  <c r="F45" i="1"/>
  <c r="F39" i="1"/>
  <c r="F33" i="1"/>
  <c r="F27" i="1"/>
  <c r="F21" i="1"/>
  <c r="F15" i="1"/>
  <c r="F9" i="1"/>
  <c r="F183" i="6"/>
  <c r="F181" i="6"/>
  <c r="F177" i="6"/>
  <c r="F176" i="6"/>
  <c r="F169" i="6"/>
  <c r="F165" i="6"/>
  <c r="F152" i="6"/>
  <c r="F139" i="6"/>
  <c r="F130" i="6"/>
  <c r="F117" i="6"/>
  <c r="F113" i="6"/>
  <c r="F104" i="6"/>
  <c r="F100" i="6"/>
  <c r="F78" i="6"/>
  <c r="F65" i="6"/>
  <c r="F52" i="6"/>
  <c r="F39" i="6"/>
  <c r="F35" i="6"/>
  <c r="F26" i="6"/>
  <c r="F13" i="6"/>
  <c r="F17" i="30"/>
  <c r="F10" i="30" s="1"/>
  <c r="F156" i="5"/>
  <c r="D134" i="5"/>
  <c r="F134" i="5"/>
  <c r="C134" i="5"/>
  <c r="G82" i="5"/>
  <c r="I82" i="5" s="1"/>
  <c r="K82" i="5" s="1"/>
  <c r="F78" i="5"/>
  <c r="F69" i="5" s="1"/>
  <c r="F11" i="2" s="1"/>
  <c r="G11" i="2" s="1"/>
  <c r="I11" i="2" s="1"/>
  <c r="K11" i="2" s="1"/>
  <c r="G72" i="5"/>
  <c r="I72" i="5" s="1"/>
  <c r="K72" i="5" s="1"/>
  <c r="G62" i="5"/>
  <c r="I62" i="5" s="1"/>
  <c r="K62" i="5" s="1"/>
  <c r="G42" i="5"/>
  <c r="I42" i="5" s="1"/>
  <c r="K42" i="5" s="1"/>
  <c r="G43" i="5"/>
  <c r="I43" i="5" s="1"/>
  <c r="K43" i="5" s="1"/>
  <c r="G32" i="5"/>
  <c r="I32" i="5" s="1"/>
  <c r="K32" i="5" s="1"/>
  <c r="G19" i="5"/>
  <c r="I19" i="5" s="1"/>
  <c r="K19" i="5" s="1"/>
  <c r="G20" i="5"/>
  <c r="I20" i="5" s="1"/>
  <c r="K20" i="5" s="1"/>
  <c r="G21" i="5"/>
  <c r="I21" i="5" s="1"/>
  <c r="K21" i="5" s="1"/>
  <c r="G18" i="5"/>
  <c r="I18" i="5" s="1"/>
  <c r="K18" i="5" s="1"/>
  <c r="F13" i="5"/>
  <c r="F33" i="5" s="1"/>
  <c r="F168" i="7"/>
  <c r="F165" i="7"/>
  <c r="F155" i="7"/>
  <c r="F158" i="7" s="1"/>
  <c r="G156" i="7"/>
  <c r="I156" i="7" s="1"/>
  <c r="K156" i="7" s="1"/>
  <c r="M156" i="7" s="1"/>
  <c r="N156" i="7" s="1"/>
  <c r="G144" i="7"/>
  <c r="I144" i="7" s="1"/>
  <c r="K144" i="7" s="1"/>
  <c r="M144" i="7" s="1"/>
  <c r="N144" i="7" s="1"/>
  <c r="G132" i="7"/>
  <c r="I132" i="7" s="1"/>
  <c r="K132" i="7" s="1"/>
  <c r="M132" i="7" s="1"/>
  <c r="N132" i="7" s="1"/>
  <c r="F119" i="7"/>
  <c r="F122" i="7" s="1"/>
  <c r="G120" i="7"/>
  <c r="I120" i="7" s="1"/>
  <c r="K120" i="7" s="1"/>
  <c r="M120" i="7" s="1"/>
  <c r="O120" i="7" s="1"/>
  <c r="F107" i="7"/>
  <c r="F110" i="7" s="1"/>
  <c r="G108" i="7"/>
  <c r="I108" i="7" s="1"/>
  <c r="K108" i="7" s="1"/>
  <c r="M108" i="7" s="1"/>
  <c r="N108" i="7" s="1"/>
  <c r="G96" i="7"/>
  <c r="I96" i="7" s="1"/>
  <c r="K96" i="7" s="1"/>
  <c r="M96" i="7" s="1"/>
  <c r="N96" i="7" s="1"/>
  <c r="G72" i="7"/>
  <c r="I72" i="7" s="1"/>
  <c r="K72" i="7" s="1"/>
  <c r="M72" i="7" s="1"/>
  <c r="N72" i="7" s="1"/>
  <c r="G60" i="7"/>
  <c r="I60" i="7" s="1"/>
  <c r="K60" i="7" s="1"/>
  <c r="M60" i="7" s="1"/>
  <c r="N60" i="7" s="1"/>
  <c r="F59" i="7"/>
  <c r="F62" i="7" s="1"/>
  <c r="G48" i="7"/>
  <c r="I48" i="7" s="1"/>
  <c r="K48" i="7" s="1"/>
  <c r="M48" i="7" s="1"/>
  <c r="N48" i="7" s="1"/>
  <c r="G36" i="7"/>
  <c r="I36" i="7" s="1"/>
  <c r="K36" i="7" s="1"/>
  <c r="M36" i="7" s="1"/>
  <c r="N36" i="7" s="1"/>
  <c r="F35" i="7"/>
  <c r="F38" i="7" s="1"/>
  <c r="G12" i="7"/>
  <c r="I12" i="7" s="1"/>
  <c r="K12" i="7" s="1"/>
  <c r="E23" i="41"/>
  <c r="E22" i="41"/>
  <c r="E19" i="41"/>
  <c r="Q19" i="2"/>
  <c r="R19" i="2"/>
  <c r="F21" i="2"/>
  <c r="F20" i="2"/>
  <c r="F17" i="2"/>
  <c r="K17" i="5" l="1"/>
  <c r="M12" i="7"/>
  <c r="K197" i="1"/>
  <c r="F41" i="6"/>
  <c r="F171" i="6"/>
  <c r="F193" i="1"/>
  <c r="Q13" i="2" s="1"/>
  <c r="H193" i="1"/>
  <c r="I17" i="5"/>
  <c r="I197" i="1"/>
  <c r="F160" i="7"/>
  <c r="K18" i="16"/>
  <c r="K22" i="16" s="1"/>
  <c r="I84" i="7"/>
  <c r="K84" i="7" s="1"/>
  <c r="M84" i="7" s="1"/>
  <c r="E17" i="41"/>
  <c r="F86" i="7"/>
  <c r="Q12" i="2"/>
  <c r="R14" i="41"/>
  <c r="Q11" i="2"/>
  <c r="R13" i="41"/>
  <c r="R10" i="41"/>
  <c r="Q8" i="2"/>
  <c r="R9" i="41"/>
  <c r="Q7" i="2"/>
  <c r="R8" i="41"/>
  <c r="R7" i="41"/>
  <c r="F88" i="6"/>
  <c r="F179" i="6" s="1"/>
  <c r="G197" i="1"/>
  <c r="O8" i="42"/>
  <c r="F119" i="6"/>
  <c r="F80" i="6"/>
  <c r="F156" i="6"/>
  <c r="F158" i="6" s="1"/>
  <c r="F180" i="6"/>
  <c r="O12" i="42" s="1"/>
  <c r="F143" i="6"/>
  <c r="F145" i="6" s="1"/>
  <c r="F19" i="2"/>
  <c r="F24" i="30"/>
  <c r="F87" i="6"/>
  <c r="F126" i="6"/>
  <c r="F132" i="6" s="1"/>
  <c r="F61" i="6"/>
  <c r="F67" i="6" s="1"/>
  <c r="F48" i="6"/>
  <c r="F54" i="6" s="1"/>
  <c r="F22" i="6"/>
  <c r="F28" i="6" s="1"/>
  <c r="F173" i="6"/>
  <c r="O5" i="42" s="1"/>
  <c r="F9" i="6"/>
  <c r="F15" i="6" s="1"/>
  <c r="O7" i="42"/>
  <c r="F48" i="32"/>
  <c r="F87" i="32" s="1"/>
  <c r="F174" i="6"/>
  <c r="O6" i="42" s="1"/>
  <c r="F167" i="7"/>
  <c r="F169" i="7" s="1"/>
  <c r="F14" i="7"/>
  <c r="F54" i="11"/>
  <c r="G16" i="42"/>
  <c r="F106" i="6"/>
  <c r="F91" i="32"/>
  <c r="F27" i="10"/>
  <c r="F71" i="11"/>
  <c r="F85" i="11" s="1"/>
  <c r="G19" i="42"/>
  <c r="E21" i="41"/>
  <c r="F189" i="1"/>
  <c r="F153" i="5"/>
  <c r="F145" i="5" s="1"/>
  <c r="F144" i="5" s="1"/>
  <c r="F13" i="2" s="1"/>
  <c r="G13" i="2" s="1"/>
  <c r="I13" i="2" s="1"/>
  <c r="K13" i="2" s="1"/>
  <c r="R15" i="41" l="1"/>
  <c r="N12" i="7"/>
  <c r="F194" i="1"/>
  <c r="O13" i="42"/>
  <c r="S13" i="2"/>
  <c r="S10" i="2" s="1"/>
  <c r="S14" i="2" s="1"/>
  <c r="T15" i="41"/>
  <c r="T12" i="41" s="1"/>
  <c r="T16" i="41" s="1"/>
  <c r="H194" i="1"/>
  <c r="H198" i="1" s="1"/>
  <c r="F140" i="5"/>
  <c r="F139" i="5" s="1"/>
  <c r="F8" i="2" s="1"/>
  <c r="K8" i="2" s="1"/>
  <c r="F137" i="5"/>
  <c r="F129" i="5" s="1"/>
  <c r="F121" i="5" s="1"/>
  <c r="F119" i="5" s="1"/>
  <c r="F117" i="5" s="1"/>
  <c r="F97" i="5" s="1"/>
  <c r="F17" i="5"/>
  <c r="F16" i="5" s="1"/>
  <c r="R11" i="41"/>
  <c r="Q9" i="2"/>
  <c r="O11" i="42"/>
  <c r="F91" i="6"/>
  <c r="F182" i="6" s="1"/>
  <c r="R12" i="41"/>
  <c r="Q10" i="2"/>
  <c r="F29" i="30"/>
  <c r="F178" i="6"/>
  <c r="F93" i="32"/>
  <c r="F170" i="7"/>
  <c r="G13" i="42"/>
  <c r="G11" i="42"/>
  <c r="F190" i="1"/>
  <c r="O9" i="42"/>
  <c r="O4" i="42" s="1"/>
  <c r="K20" i="10"/>
  <c r="D23" i="10"/>
  <c r="D20" i="10" s="1"/>
  <c r="M26" i="10"/>
  <c r="F93" i="6" l="1"/>
  <c r="F198" i="1"/>
  <c r="O10" i="42"/>
  <c r="O14" i="42" s="1"/>
  <c r="O18" i="42" s="1"/>
  <c r="O22" i="42" s="1"/>
  <c r="T20" i="41"/>
  <c r="T24" i="41" s="1"/>
  <c r="G25" i="41"/>
  <c r="S18" i="2"/>
  <c r="S22" i="2" s="1"/>
  <c r="H23" i="2"/>
  <c r="F128" i="5"/>
  <c r="F12" i="2" s="1"/>
  <c r="F10" i="2" s="1"/>
  <c r="F91" i="5"/>
  <c r="F87" i="5" s="1"/>
  <c r="F84" i="5" s="1"/>
  <c r="F83" i="5" s="1"/>
  <c r="F7" i="2"/>
  <c r="G7" i="2" s="1"/>
  <c r="I7" i="2" s="1"/>
  <c r="K7" i="2" s="1"/>
  <c r="G8" i="42"/>
  <c r="E14" i="41"/>
  <c r="E12" i="41" s="1"/>
  <c r="F184" i="6"/>
  <c r="F4" i="5"/>
  <c r="R6" i="41"/>
  <c r="R16" i="41" s="1"/>
  <c r="R20" i="41" s="1"/>
  <c r="R24" i="41" s="1"/>
  <c r="Q4" i="2"/>
  <c r="Q14" i="2" s="1"/>
  <c r="D157" i="7"/>
  <c r="D145" i="7"/>
  <c r="D25" i="7"/>
  <c r="D13" i="7"/>
  <c r="G12" i="42" l="1"/>
  <c r="G10" i="42" s="1"/>
  <c r="G7" i="42"/>
  <c r="F6" i="2"/>
  <c r="G6" i="2" s="1"/>
  <c r="I6" i="2" s="1"/>
  <c r="K6" i="2" s="1"/>
  <c r="G6" i="42"/>
  <c r="F3" i="5"/>
  <c r="F5" i="2" s="1"/>
  <c r="J22" i="17"/>
  <c r="F159" i="5" l="1"/>
  <c r="F200" i="1" s="1"/>
  <c r="F201" i="1" s="1"/>
  <c r="G5" i="2"/>
  <c r="I5" i="2" s="1"/>
  <c r="E6" i="41"/>
  <c r="E16" i="41" s="1"/>
  <c r="E25" i="41" s="1"/>
  <c r="G5" i="42"/>
  <c r="G4" i="42" s="1"/>
  <c r="G14" i="42" s="1"/>
  <c r="G23" i="42" s="1"/>
  <c r="L64" i="11"/>
  <c r="L71" i="11" s="1"/>
  <c r="D68" i="11"/>
  <c r="G68" i="11" s="1"/>
  <c r="I68" i="11" s="1"/>
  <c r="K68" i="11" s="1"/>
  <c r="D69" i="11"/>
  <c r="E69" i="11" s="1"/>
  <c r="G69" i="11" s="1"/>
  <c r="I69" i="11" s="1"/>
  <c r="K69" i="11" s="1"/>
  <c r="D67" i="11"/>
  <c r="E67" i="11" s="1"/>
  <c r="D66" i="11"/>
  <c r="D65" i="11"/>
  <c r="E65" i="11" s="1"/>
  <c r="G65" i="11" s="1"/>
  <c r="I65" i="11" s="1"/>
  <c r="K65" i="11" s="1"/>
  <c r="D63" i="11"/>
  <c r="E63" i="11" s="1"/>
  <c r="G63" i="11" s="1"/>
  <c r="I63" i="11" s="1"/>
  <c r="K63" i="11" s="1"/>
  <c r="D62" i="11"/>
  <c r="E62" i="11" s="1"/>
  <c r="G62" i="11" s="1"/>
  <c r="I62" i="11" s="1"/>
  <c r="K62" i="11" s="1"/>
  <c r="D61" i="11"/>
  <c r="E61" i="11" s="1"/>
  <c r="G61" i="11" s="1"/>
  <c r="I61" i="11" s="1"/>
  <c r="K61" i="11" s="1"/>
  <c r="D60" i="11"/>
  <c r="E60" i="11" s="1"/>
  <c r="G60" i="11" s="1"/>
  <c r="I60" i="11" s="1"/>
  <c r="K60" i="11" s="1"/>
  <c r="D59" i="11"/>
  <c r="E59" i="11" s="1"/>
  <c r="D58" i="11"/>
  <c r="E58" i="11" s="1"/>
  <c r="D70" i="11"/>
  <c r="E70" i="11" s="1"/>
  <c r="G70" i="11" s="1"/>
  <c r="I70" i="11" s="1"/>
  <c r="K70" i="11" s="1"/>
  <c r="N58" i="11"/>
  <c r="M58" i="11"/>
  <c r="D16" i="11"/>
  <c r="D15" i="11"/>
  <c r="G15" i="11" s="1"/>
  <c r="I15" i="11" s="1"/>
  <c r="K15" i="11" s="1"/>
  <c r="D9" i="11"/>
  <c r="E9" i="11" s="1"/>
  <c r="G9" i="11" s="1"/>
  <c r="I9" i="11" s="1"/>
  <c r="K9" i="11" s="1"/>
  <c r="I4" i="2" l="1"/>
  <c r="K5" i="2"/>
  <c r="F4" i="2"/>
  <c r="F14" i="2" s="1"/>
  <c r="G18" i="42"/>
  <c r="G22" i="42" s="1"/>
  <c r="E20" i="41"/>
  <c r="E24" i="41" s="1"/>
  <c r="M67" i="11"/>
  <c r="M64" i="11" s="1"/>
  <c r="M71" i="11" s="1"/>
  <c r="G67" i="11"/>
  <c r="I67" i="11" s="1"/>
  <c r="K67" i="11" s="1"/>
  <c r="O58" i="11"/>
  <c r="D64" i="11"/>
  <c r="E66" i="11"/>
  <c r="G66" i="11" s="1"/>
  <c r="I66" i="11" s="1"/>
  <c r="K66" i="11" s="1"/>
  <c r="D80" i="1"/>
  <c r="D70" i="5"/>
  <c r="K4" i="2" l="1"/>
  <c r="K64" i="11"/>
  <c r="I64" i="11"/>
  <c r="F18" i="2"/>
  <c r="F22" i="2" s="1"/>
  <c r="F23" i="2"/>
  <c r="G64" i="11"/>
  <c r="L11" i="11"/>
  <c r="L18" i="11" s="1"/>
  <c r="G16" i="11"/>
  <c r="I16" i="11" s="1"/>
  <c r="K16" i="11" s="1"/>
  <c r="D71" i="11"/>
  <c r="E71" i="11"/>
  <c r="E84" i="7"/>
  <c r="G84" i="7" s="1"/>
  <c r="D114" i="6"/>
  <c r="D13" i="11" s="1"/>
  <c r="E13" i="11" s="1"/>
  <c r="G13" i="11" s="1"/>
  <c r="I13" i="11" s="1"/>
  <c r="K13" i="11" s="1"/>
  <c r="D97" i="7"/>
  <c r="D49" i="7"/>
  <c r="D37" i="7"/>
  <c r="D6" i="6"/>
  <c r="D44" i="32" l="1"/>
  <c r="D43" i="32"/>
  <c r="D157" i="5" l="1"/>
  <c r="L157" i="5" s="1"/>
  <c r="D158" i="5" l="1"/>
  <c r="L158" i="5" s="1"/>
  <c r="D73" i="7" l="1"/>
  <c r="D61" i="7"/>
  <c r="D177" i="6"/>
  <c r="N10" i="2" l="1"/>
  <c r="N4" i="2"/>
  <c r="D20" i="2"/>
  <c r="I14" i="17" s="1"/>
  <c r="D21" i="2"/>
  <c r="C10" i="2"/>
  <c r="D19" i="2" l="1"/>
  <c r="N14" i="2"/>
  <c r="C23" i="2" s="1"/>
  <c r="L88" i="32"/>
  <c r="D53" i="11"/>
  <c r="D88" i="32" s="1"/>
  <c r="C53" i="11"/>
  <c r="C88" i="32" s="1"/>
  <c r="E46" i="11"/>
  <c r="G46" i="11" s="1"/>
  <c r="I46" i="11" s="1"/>
  <c r="K46" i="11" s="1"/>
  <c r="D26" i="30"/>
  <c r="E26" i="30" s="1"/>
  <c r="D57" i="32"/>
  <c r="D25" i="32"/>
  <c r="D17" i="32"/>
  <c r="D9" i="32"/>
  <c r="D86" i="32" s="1"/>
  <c r="D27" i="30"/>
  <c r="D17" i="2" s="1"/>
  <c r="I13" i="17" s="1"/>
  <c r="G26" i="30" l="1"/>
  <c r="I26" i="30" s="1"/>
  <c r="K26" i="30" s="1"/>
  <c r="D25" i="30"/>
  <c r="D10" i="32"/>
  <c r="D162" i="5"/>
  <c r="M26" i="30" l="1"/>
  <c r="N26" i="30" s="1"/>
  <c r="L42" i="5"/>
  <c r="O160" i="7"/>
  <c r="O161" i="7"/>
  <c r="O162" i="7"/>
  <c r="O84" i="7"/>
  <c r="N84" i="7" s="1"/>
  <c r="O168" i="7" l="1"/>
  <c r="D97" i="6"/>
  <c r="D123" i="6"/>
  <c r="D79" i="1"/>
  <c r="D5" i="15"/>
  <c r="D16" i="15" s="1"/>
  <c r="D84" i="7"/>
  <c r="D5" i="7"/>
  <c r="D4" i="7"/>
  <c r="D85" i="7"/>
  <c r="D168" i="7" l="1"/>
  <c r="D16" i="2" s="1"/>
  <c r="I12" i="17" s="1"/>
  <c r="D45" i="32"/>
  <c r="D48" i="32" s="1"/>
  <c r="D17" i="15"/>
  <c r="D78" i="5"/>
  <c r="O43" i="5"/>
  <c r="O42" i="5"/>
  <c r="L73" i="11" l="1"/>
  <c r="L79" i="11" s="1"/>
  <c r="K17" i="10"/>
  <c r="K16" i="10"/>
  <c r="K14" i="10"/>
  <c r="K12" i="10"/>
  <c r="K8" i="10"/>
  <c r="L55" i="1"/>
  <c r="L61" i="1"/>
  <c r="L49" i="1"/>
  <c r="E49" i="1"/>
  <c r="G49" i="1" s="1"/>
  <c r="I49" i="1" s="1"/>
  <c r="K49" i="1" s="1"/>
  <c r="L54" i="32"/>
  <c r="L53" i="32"/>
  <c r="L52" i="32"/>
  <c r="M7" i="32"/>
  <c r="D11" i="7"/>
  <c r="O11" i="7"/>
  <c r="P11" i="7"/>
  <c r="P14" i="7" s="1"/>
  <c r="C11" i="7"/>
  <c r="Q12" i="7"/>
  <c r="D35" i="7"/>
  <c r="D38" i="7" s="1"/>
  <c r="O35" i="7"/>
  <c r="O38" i="7" s="1"/>
  <c r="P35" i="7"/>
  <c r="P38" i="7" s="1"/>
  <c r="C35" i="7"/>
  <c r="C38" i="7" s="1"/>
  <c r="D47" i="7"/>
  <c r="D50" i="7" s="1"/>
  <c r="O47" i="7"/>
  <c r="O50" i="7" s="1"/>
  <c r="P47" i="7"/>
  <c r="P50" i="7" s="1"/>
  <c r="C47" i="7"/>
  <c r="C50" i="7" s="1"/>
  <c r="Q48" i="7"/>
  <c r="D59" i="7"/>
  <c r="D62" i="7" s="1"/>
  <c r="O59" i="7"/>
  <c r="O62" i="7" s="1"/>
  <c r="P59" i="7"/>
  <c r="P62" i="7" s="1"/>
  <c r="C59" i="7"/>
  <c r="C62" i="7" s="1"/>
  <c r="Q60" i="7"/>
  <c r="Q72" i="7"/>
  <c r="D71" i="7"/>
  <c r="D74" i="7" s="1"/>
  <c r="O71" i="7"/>
  <c r="O74" i="7" s="1"/>
  <c r="P71" i="7"/>
  <c r="P74" i="7" s="1"/>
  <c r="C71" i="7"/>
  <c r="C74" i="7" s="1"/>
  <c r="Q84" i="7"/>
  <c r="D83" i="7"/>
  <c r="P83" i="7"/>
  <c r="P86" i="7" s="1"/>
  <c r="C83" i="7"/>
  <c r="C86" i="7" s="1"/>
  <c r="D95" i="7"/>
  <c r="D98" i="7" s="1"/>
  <c r="O95" i="7"/>
  <c r="O98" i="7" s="1"/>
  <c r="P95" i="7"/>
  <c r="P98" i="7" s="1"/>
  <c r="C95" i="7"/>
  <c r="C98" i="7" s="1"/>
  <c r="D107" i="7"/>
  <c r="D110" i="7" s="1"/>
  <c r="O107" i="7"/>
  <c r="O110" i="7" s="1"/>
  <c r="P107" i="7"/>
  <c r="P110" i="7" s="1"/>
  <c r="Q96" i="7"/>
  <c r="C107" i="7"/>
  <c r="C110" i="7" s="1"/>
  <c r="Q108" i="7"/>
  <c r="D119" i="7"/>
  <c r="D122" i="7" s="1"/>
  <c r="N119" i="7"/>
  <c r="P119" i="7"/>
  <c r="P122" i="7" s="1"/>
  <c r="C119" i="7"/>
  <c r="C122" i="7" s="1"/>
  <c r="Q120" i="7"/>
  <c r="D131" i="7"/>
  <c r="D134" i="7" s="1"/>
  <c r="O131" i="7"/>
  <c r="O134" i="7" s="1"/>
  <c r="P131" i="7"/>
  <c r="P134" i="7" s="1"/>
  <c r="C131" i="7"/>
  <c r="C134" i="7" s="1"/>
  <c r="Q132" i="7"/>
  <c r="Q156" i="7"/>
  <c r="Q144" i="7"/>
  <c r="D143" i="7"/>
  <c r="D146" i="7" s="1"/>
  <c r="O143" i="7"/>
  <c r="O146" i="7" s="1"/>
  <c r="P143" i="7"/>
  <c r="P146" i="7" s="1"/>
  <c r="C143" i="7"/>
  <c r="C146" i="7" s="1"/>
  <c r="D155" i="7"/>
  <c r="D158" i="7" s="1"/>
  <c r="O155" i="7"/>
  <c r="O158" i="7" s="1"/>
  <c r="P155" i="7"/>
  <c r="P158" i="7" s="1"/>
  <c r="C155" i="7"/>
  <c r="C158" i="7" s="1"/>
  <c r="O88" i="6"/>
  <c r="O89" i="6"/>
  <c r="O90" i="6"/>
  <c r="O92" i="6"/>
  <c r="O85" i="6"/>
  <c r="O86" i="6"/>
  <c r="O84" i="6"/>
  <c r="O83" i="6"/>
  <c r="D92" i="6"/>
  <c r="D183" i="6" s="1"/>
  <c r="D90" i="6"/>
  <c r="D181" i="6" s="1"/>
  <c r="D89" i="6"/>
  <c r="D180" i="6" s="1"/>
  <c r="D85" i="6"/>
  <c r="D84" i="6"/>
  <c r="C88" i="6"/>
  <c r="C89" i="6"/>
  <c r="C90" i="6"/>
  <c r="C92" i="6"/>
  <c r="C86" i="6"/>
  <c r="C85" i="6"/>
  <c r="C84" i="6"/>
  <c r="C83" i="6"/>
  <c r="C82" i="6"/>
  <c r="E25" i="7"/>
  <c r="E24" i="7"/>
  <c r="P23" i="7"/>
  <c r="O23" i="7"/>
  <c r="D23" i="7"/>
  <c r="C23" i="7"/>
  <c r="L187" i="1" l="1"/>
  <c r="G25" i="7"/>
  <c r="I25" i="7" s="1"/>
  <c r="K25" i="7" s="1"/>
  <c r="M25" i="7" s="1"/>
  <c r="N25" i="7" s="1"/>
  <c r="Q25" i="7" s="1"/>
  <c r="E168" i="7"/>
  <c r="G24" i="7"/>
  <c r="I24" i="7" s="1"/>
  <c r="N15" i="2"/>
  <c r="N18" i="2" s="1"/>
  <c r="P17" i="41"/>
  <c r="O87" i="6"/>
  <c r="C87" i="6"/>
  <c r="C167" i="7"/>
  <c r="C169" i="7" s="1"/>
  <c r="C91" i="6"/>
  <c r="D86" i="7"/>
  <c r="D167" i="7"/>
  <c r="D169" i="7" s="1"/>
  <c r="C14" i="7"/>
  <c r="D14" i="7"/>
  <c r="O14" i="7"/>
  <c r="E23" i="7"/>
  <c r="D166" i="6"/>
  <c r="D17" i="11" s="1"/>
  <c r="E17" i="11" s="1"/>
  <c r="G17" i="11" s="1"/>
  <c r="I17" i="11" s="1"/>
  <c r="K17" i="11" s="1"/>
  <c r="D127" i="6"/>
  <c r="D14" i="11" s="1"/>
  <c r="E14" i="11" s="1"/>
  <c r="D101" i="6"/>
  <c r="D12" i="11" s="1"/>
  <c r="D122" i="6"/>
  <c r="D83" i="6" s="1"/>
  <c r="D121" i="6"/>
  <c r="D82" i="6" s="1"/>
  <c r="D75" i="6"/>
  <c r="D10" i="11" s="1"/>
  <c r="E10" i="11" s="1"/>
  <c r="G10" i="11" s="1"/>
  <c r="I10" i="11" s="1"/>
  <c r="K10" i="11" s="1"/>
  <c r="D70" i="6"/>
  <c r="D69" i="6"/>
  <c r="D57" i="6"/>
  <c r="D56" i="6"/>
  <c r="D45" i="6"/>
  <c r="D49" i="6"/>
  <c r="D8" i="11" s="1"/>
  <c r="E8" i="11" s="1"/>
  <c r="G8" i="11" s="1"/>
  <c r="I8" i="11" s="1"/>
  <c r="K8" i="11" s="1"/>
  <c r="D44" i="6"/>
  <c r="D43" i="6"/>
  <c r="D36" i="6"/>
  <c r="D7" i="11" s="1"/>
  <c r="E7" i="11" s="1"/>
  <c r="G7" i="11" s="1"/>
  <c r="I7" i="11" s="1"/>
  <c r="K7" i="11" s="1"/>
  <c r="D32" i="6"/>
  <c r="D23" i="6"/>
  <c r="D6" i="11" s="1"/>
  <c r="E6" i="11" s="1"/>
  <c r="D18" i="6"/>
  <c r="D17" i="6"/>
  <c r="D10" i="6"/>
  <c r="D5" i="6"/>
  <c r="D4" i="6"/>
  <c r="D58" i="6"/>
  <c r="D176" i="6"/>
  <c r="D71" i="6"/>
  <c r="I168" i="7" l="1"/>
  <c r="K24" i="7"/>
  <c r="G23" i="7"/>
  <c r="G168" i="7"/>
  <c r="G14" i="11"/>
  <c r="I14" i="11" s="1"/>
  <c r="K14" i="11" s="1"/>
  <c r="E12" i="11"/>
  <c r="G12" i="11" s="1"/>
  <c r="I12" i="11" s="1"/>
  <c r="K12" i="11" s="1"/>
  <c r="D11" i="11"/>
  <c r="D5" i="11"/>
  <c r="D87" i="6"/>
  <c r="D175" i="6"/>
  <c r="D88" i="6"/>
  <c r="D91" i="6" s="1"/>
  <c r="D174" i="6"/>
  <c r="D173" i="6"/>
  <c r="M15" i="42"/>
  <c r="E17" i="42"/>
  <c r="E16" i="42"/>
  <c r="I20" i="16"/>
  <c r="I19" i="16"/>
  <c r="G17" i="15"/>
  <c r="I17" i="15" s="1"/>
  <c r="K17" i="15" s="1"/>
  <c r="G12" i="15"/>
  <c r="I12" i="15" s="1"/>
  <c r="K12" i="15" s="1"/>
  <c r="G11" i="15"/>
  <c r="I11" i="15" s="1"/>
  <c r="K11" i="15" s="1"/>
  <c r="G5" i="15"/>
  <c r="I5" i="15" s="1"/>
  <c r="K5" i="15" s="1"/>
  <c r="G6" i="15"/>
  <c r="I6" i="15" s="1"/>
  <c r="K6" i="15" s="1"/>
  <c r="G7" i="15"/>
  <c r="I7" i="15" s="1"/>
  <c r="K7" i="15" s="1"/>
  <c r="G8" i="15"/>
  <c r="I8" i="15" s="1"/>
  <c r="K8" i="15" s="1"/>
  <c r="G9" i="15"/>
  <c r="I9" i="15" s="1"/>
  <c r="K9" i="15" s="1"/>
  <c r="G4" i="15"/>
  <c r="K11" i="11" l="1"/>
  <c r="I4" i="15"/>
  <c r="M24" i="7"/>
  <c r="K168" i="7"/>
  <c r="I11" i="11"/>
  <c r="G11" i="11"/>
  <c r="D18" i="11"/>
  <c r="G18" i="11" s="1"/>
  <c r="I18" i="11" s="1"/>
  <c r="K18" i="11" s="1"/>
  <c r="D179" i="6"/>
  <c r="E19" i="42"/>
  <c r="M6" i="10"/>
  <c r="M8" i="10"/>
  <c r="M9" i="10"/>
  <c r="M10" i="10"/>
  <c r="M11" i="10"/>
  <c r="M12" i="10"/>
  <c r="M13" i="10"/>
  <c r="M14" i="10"/>
  <c r="M15" i="10"/>
  <c r="M16" i="10"/>
  <c r="M17" i="10"/>
  <c r="M18" i="10"/>
  <c r="M21" i="10"/>
  <c r="M22" i="10"/>
  <c r="M23" i="10"/>
  <c r="M24" i="10"/>
  <c r="M25" i="10"/>
  <c r="E22" i="10"/>
  <c r="G22" i="10" s="1"/>
  <c r="I22" i="10" s="1"/>
  <c r="E23" i="10"/>
  <c r="G23" i="10" s="1"/>
  <c r="I23" i="10" s="1"/>
  <c r="E24" i="10"/>
  <c r="G24" i="10" s="1"/>
  <c r="I24" i="10" s="1"/>
  <c r="E25" i="10"/>
  <c r="G25" i="10" s="1"/>
  <c r="I25" i="10" s="1"/>
  <c r="E21" i="10"/>
  <c r="G13" i="10"/>
  <c r="I13" i="10" s="1"/>
  <c r="E14" i="10"/>
  <c r="G14" i="10" s="1"/>
  <c r="I14" i="10" s="1"/>
  <c r="E15" i="10"/>
  <c r="G15" i="10" s="1"/>
  <c r="E16" i="10"/>
  <c r="G16" i="10" s="1"/>
  <c r="E17" i="10"/>
  <c r="G17" i="10" s="1"/>
  <c r="I17" i="10" s="1"/>
  <c r="E18" i="10"/>
  <c r="G18" i="10" s="1"/>
  <c r="I18" i="10" s="1"/>
  <c r="E12" i="10"/>
  <c r="G12" i="10" s="1"/>
  <c r="I12" i="10" s="1"/>
  <c r="E9" i="10"/>
  <c r="G9" i="10" s="1"/>
  <c r="I9" i="10" s="1"/>
  <c r="G10" i="10"/>
  <c r="I10" i="10" s="1"/>
  <c r="E11" i="10"/>
  <c r="G11" i="10" s="1"/>
  <c r="I11" i="10" s="1"/>
  <c r="E8" i="10"/>
  <c r="G8" i="10" s="1"/>
  <c r="I8" i="10" s="1"/>
  <c r="E6" i="10"/>
  <c r="G6" i="10" s="1"/>
  <c r="D193" i="1"/>
  <c r="D7" i="10"/>
  <c r="D5" i="10" s="1"/>
  <c r="D189" i="1" s="1"/>
  <c r="C23" i="41"/>
  <c r="C22" i="41"/>
  <c r="C19" i="41"/>
  <c r="C18" i="41"/>
  <c r="K4" i="15" l="1"/>
  <c r="L20" i="16"/>
  <c r="I15" i="10"/>
  <c r="I6" i="10"/>
  <c r="L19" i="16"/>
  <c r="I16" i="10"/>
  <c r="N24" i="7"/>
  <c r="Q24" i="7" s="1"/>
  <c r="M168" i="7"/>
  <c r="G21" i="10"/>
  <c r="E20" i="10"/>
  <c r="G7" i="10"/>
  <c r="I7" i="10" s="1"/>
  <c r="O9" i="2"/>
  <c r="D27" i="10"/>
  <c r="E193" i="1"/>
  <c r="L18" i="16" l="1"/>
  <c r="G20" i="10"/>
  <c r="I193" i="1" s="1"/>
  <c r="I21" i="10"/>
  <c r="I20" i="10" s="1"/>
  <c r="K193" i="1" s="1"/>
  <c r="G5" i="10"/>
  <c r="I5" i="10"/>
  <c r="G193" i="1"/>
  <c r="E27" i="10"/>
  <c r="I27" i="10" l="1"/>
  <c r="G27" i="10"/>
  <c r="J15" i="16"/>
  <c r="L15" i="16" s="1"/>
  <c r="J16" i="16"/>
  <c r="L16" i="16" s="1"/>
  <c r="J17" i="16"/>
  <c r="L17" i="16" s="1"/>
  <c r="J14" i="16"/>
  <c r="L14" i="16" s="1"/>
  <c r="J10" i="16"/>
  <c r="L10" i="16" s="1"/>
  <c r="J11" i="16"/>
  <c r="L11" i="16" s="1"/>
  <c r="J12" i="16"/>
  <c r="L12" i="16" s="1"/>
  <c r="J9" i="16"/>
  <c r="L9" i="16" s="1"/>
  <c r="J5" i="16"/>
  <c r="L5" i="16" s="1"/>
  <c r="J6" i="16"/>
  <c r="L6" i="16" s="1"/>
  <c r="J7" i="16"/>
  <c r="L7" i="16" s="1"/>
  <c r="J4" i="16"/>
  <c r="L4" i="16" s="1"/>
  <c r="D20" i="16"/>
  <c r="E20" i="16"/>
  <c r="F20" i="16"/>
  <c r="G20" i="16"/>
  <c r="H20" i="16"/>
  <c r="I18" i="16"/>
  <c r="D19" i="16"/>
  <c r="E19" i="16"/>
  <c r="F19" i="16"/>
  <c r="G19" i="16"/>
  <c r="H19" i="16"/>
  <c r="D13" i="16"/>
  <c r="E13" i="16"/>
  <c r="F13" i="16"/>
  <c r="G13" i="16"/>
  <c r="H13" i="16"/>
  <c r="I13" i="16"/>
  <c r="D8" i="16"/>
  <c r="E8" i="16"/>
  <c r="G8" i="16"/>
  <c r="I8" i="16"/>
  <c r="S6" i="35"/>
  <c r="S7" i="35"/>
  <c r="S8" i="35"/>
  <c r="S9" i="35"/>
  <c r="S10" i="35"/>
  <c r="S5" i="35"/>
  <c r="K6" i="35"/>
  <c r="K7" i="35"/>
  <c r="K8" i="35"/>
  <c r="K9" i="35"/>
  <c r="K10" i="35"/>
  <c r="K5" i="35"/>
  <c r="J12" i="35"/>
  <c r="U6" i="13"/>
  <c r="U7" i="13"/>
  <c r="U8" i="13"/>
  <c r="U9" i="13"/>
  <c r="U10" i="13"/>
  <c r="U5" i="13"/>
  <c r="K6" i="13"/>
  <c r="M6" i="13" s="1"/>
  <c r="O6" i="13" s="1"/>
  <c r="Q6" i="13" s="1"/>
  <c r="K7" i="13"/>
  <c r="M7" i="13" s="1"/>
  <c r="O7" i="13" s="1"/>
  <c r="Q7" i="13" s="1"/>
  <c r="K8" i="13"/>
  <c r="M8" i="13" s="1"/>
  <c r="O8" i="13" s="1"/>
  <c r="K9" i="13"/>
  <c r="M9" i="13" s="1"/>
  <c r="O9" i="13" s="1"/>
  <c r="Q9" i="13" s="1"/>
  <c r="K10" i="13"/>
  <c r="M10" i="13" s="1"/>
  <c r="O10" i="13" s="1"/>
  <c r="Q10" i="13" s="1"/>
  <c r="K5" i="13"/>
  <c r="J13" i="13"/>
  <c r="O20" i="11"/>
  <c r="O21" i="11"/>
  <c r="O22" i="11"/>
  <c r="O24" i="11"/>
  <c r="O25" i="11"/>
  <c r="O26" i="11"/>
  <c r="O28" i="11"/>
  <c r="O29" i="11"/>
  <c r="O30" i="11"/>
  <c r="O44" i="11"/>
  <c r="O45" i="11"/>
  <c r="O57" i="11"/>
  <c r="O72" i="11"/>
  <c r="O73" i="11"/>
  <c r="O74" i="11"/>
  <c r="O75" i="11"/>
  <c r="O4" i="11"/>
  <c r="E82" i="11"/>
  <c r="E81" i="11"/>
  <c r="G81" i="11" s="1"/>
  <c r="I81" i="11" s="1"/>
  <c r="G75" i="11"/>
  <c r="I75" i="11" s="1"/>
  <c r="K75" i="11" s="1"/>
  <c r="G74" i="11"/>
  <c r="I74" i="11" s="1"/>
  <c r="K74" i="11" s="1"/>
  <c r="G73" i="11"/>
  <c r="I73" i="11" s="1"/>
  <c r="E45" i="11"/>
  <c r="G44" i="11"/>
  <c r="I44" i="11" s="1"/>
  <c r="E25" i="11"/>
  <c r="G26" i="11"/>
  <c r="I26" i="11" s="1"/>
  <c r="K26" i="11" s="1"/>
  <c r="G28" i="11"/>
  <c r="I28" i="11" s="1"/>
  <c r="K28" i="11" s="1"/>
  <c r="E29" i="11"/>
  <c r="G29" i="11" s="1"/>
  <c r="I29" i="11" s="1"/>
  <c r="K29" i="11" s="1"/>
  <c r="E30" i="11"/>
  <c r="G30" i="11" s="1"/>
  <c r="I30" i="11" s="1"/>
  <c r="K30" i="11" s="1"/>
  <c r="G24" i="11"/>
  <c r="I24" i="11" s="1"/>
  <c r="K24" i="11" s="1"/>
  <c r="E22" i="11"/>
  <c r="E21" i="11"/>
  <c r="G21" i="11" s="1"/>
  <c r="I21" i="11" s="1"/>
  <c r="K21" i="11" s="1"/>
  <c r="G20" i="11"/>
  <c r="I20" i="11" s="1"/>
  <c r="K20" i="11" s="1"/>
  <c r="D84" i="11"/>
  <c r="D79" i="11"/>
  <c r="D192" i="1" s="1"/>
  <c r="D23" i="11"/>
  <c r="D42" i="11" s="1"/>
  <c r="O7" i="32"/>
  <c r="O8" i="32"/>
  <c r="O9" i="32"/>
  <c r="O12" i="32"/>
  <c r="O13" i="32"/>
  <c r="O14" i="32"/>
  <c r="O15" i="32"/>
  <c r="O16" i="32"/>
  <c r="O20" i="32"/>
  <c r="O21" i="32"/>
  <c r="O22" i="32"/>
  <c r="O23" i="32"/>
  <c r="O24" i="32"/>
  <c r="O28" i="32"/>
  <c r="O29" i="32"/>
  <c r="O30" i="32"/>
  <c r="O31" i="32"/>
  <c r="O32" i="32"/>
  <c r="O39" i="32"/>
  <c r="O54" i="32"/>
  <c r="O55" i="32"/>
  <c r="O56" i="32"/>
  <c r="O60" i="32"/>
  <c r="O61" i="32"/>
  <c r="O62" i="32"/>
  <c r="O63" i="32"/>
  <c r="O64" i="32"/>
  <c r="O68" i="32"/>
  <c r="O69" i="32"/>
  <c r="O70" i="32"/>
  <c r="O71" i="32"/>
  <c r="O72" i="32"/>
  <c r="G76" i="32"/>
  <c r="I76" i="32" s="1"/>
  <c r="K76" i="32" s="1"/>
  <c r="G77" i="32"/>
  <c r="I77" i="32" s="1"/>
  <c r="K77" i="32" s="1"/>
  <c r="E78" i="32"/>
  <c r="G78" i="32" s="1"/>
  <c r="I78" i="32" s="1"/>
  <c r="K78" i="32" s="1"/>
  <c r="E79" i="32"/>
  <c r="G79" i="32" s="1"/>
  <c r="I79" i="32" s="1"/>
  <c r="K79" i="32" s="1"/>
  <c r="G75" i="32"/>
  <c r="I75" i="32" s="1"/>
  <c r="K75" i="32" s="1"/>
  <c r="E69" i="32"/>
  <c r="G69" i="32" s="1"/>
  <c r="I69" i="32" s="1"/>
  <c r="K69" i="32" s="1"/>
  <c r="E70" i="32"/>
  <c r="G70" i="32" s="1"/>
  <c r="I70" i="32" s="1"/>
  <c r="K70" i="32" s="1"/>
  <c r="E71" i="32"/>
  <c r="G71" i="32" s="1"/>
  <c r="I71" i="32" s="1"/>
  <c r="K71" i="32" s="1"/>
  <c r="E72" i="32"/>
  <c r="G72" i="32" s="1"/>
  <c r="I72" i="32" s="1"/>
  <c r="K72" i="32" s="1"/>
  <c r="E68" i="32"/>
  <c r="E61" i="32"/>
  <c r="G61" i="32" s="1"/>
  <c r="I61" i="32" s="1"/>
  <c r="K61" i="32" s="1"/>
  <c r="E62" i="32"/>
  <c r="G62" i="32" s="1"/>
  <c r="I62" i="32" s="1"/>
  <c r="K62" i="32" s="1"/>
  <c r="E63" i="32"/>
  <c r="G63" i="32" s="1"/>
  <c r="I63" i="32" s="1"/>
  <c r="K63" i="32" s="1"/>
  <c r="E64" i="32"/>
  <c r="G64" i="32" s="1"/>
  <c r="I64" i="32" s="1"/>
  <c r="K64" i="32" s="1"/>
  <c r="E60" i="32"/>
  <c r="G60" i="32" s="1"/>
  <c r="I60" i="32" s="1"/>
  <c r="K60" i="32" s="1"/>
  <c r="E53" i="32"/>
  <c r="E54" i="32"/>
  <c r="G54" i="32" s="1"/>
  <c r="I54" i="32" s="1"/>
  <c r="K54" i="32" s="1"/>
  <c r="E55" i="32"/>
  <c r="G55" i="32" s="1"/>
  <c r="I55" i="32" s="1"/>
  <c r="K55" i="32" s="1"/>
  <c r="E56" i="32"/>
  <c r="G56" i="32" s="1"/>
  <c r="I56" i="32" s="1"/>
  <c r="K56" i="32" s="1"/>
  <c r="E52" i="32"/>
  <c r="G52" i="32" s="1"/>
  <c r="I52" i="32" s="1"/>
  <c r="K52" i="32" s="1"/>
  <c r="G44" i="32"/>
  <c r="I44" i="32" s="1"/>
  <c r="K44" i="32" s="1"/>
  <c r="L44" i="32" s="1"/>
  <c r="E46" i="32"/>
  <c r="G46" i="32" s="1"/>
  <c r="I46" i="32" s="1"/>
  <c r="K46" i="32" s="1"/>
  <c r="E47" i="32"/>
  <c r="G47" i="32" s="1"/>
  <c r="I47" i="32" s="1"/>
  <c r="K47" i="32" s="1"/>
  <c r="G43" i="32"/>
  <c r="I43" i="32" s="1"/>
  <c r="K43" i="32" s="1"/>
  <c r="L43" i="32" s="1"/>
  <c r="E36" i="32"/>
  <c r="G36" i="32" s="1"/>
  <c r="I36" i="32" s="1"/>
  <c r="K36" i="32" s="1"/>
  <c r="E37" i="32"/>
  <c r="G37" i="32" s="1"/>
  <c r="I37" i="32" s="1"/>
  <c r="K37" i="32" s="1"/>
  <c r="E39" i="32"/>
  <c r="G39" i="32" s="1"/>
  <c r="I39" i="32" s="1"/>
  <c r="K39" i="32" s="1"/>
  <c r="E35" i="32"/>
  <c r="G35" i="32" s="1"/>
  <c r="I35" i="32" s="1"/>
  <c r="K35" i="32" s="1"/>
  <c r="E29" i="32"/>
  <c r="G29" i="32" s="1"/>
  <c r="I29" i="32" s="1"/>
  <c r="K29" i="32" s="1"/>
  <c r="E30" i="32"/>
  <c r="G30" i="32" s="1"/>
  <c r="I30" i="32" s="1"/>
  <c r="K30" i="32" s="1"/>
  <c r="E31" i="32"/>
  <c r="G31" i="32" s="1"/>
  <c r="I31" i="32" s="1"/>
  <c r="K31" i="32" s="1"/>
  <c r="E32" i="32"/>
  <c r="G32" i="32" s="1"/>
  <c r="I32" i="32" s="1"/>
  <c r="K32" i="32" s="1"/>
  <c r="E28" i="32"/>
  <c r="G28" i="32" s="1"/>
  <c r="I28" i="32" s="1"/>
  <c r="K28" i="32" s="1"/>
  <c r="E21" i="32"/>
  <c r="G21" i="32" s="1"/>
  <c r="I21" i="32" s="1"/>
  <c r="K21" i="32" s="1"/>
  <c r="E22" i="32"/>
  <c r="G22" i="32" s="1"/>
  <c r="I22" i="32" s="1"/>
  <c r="K22" i="32" s="1"/>
  <c r="E23" i="32"/>
  <c r="G23" i="32" s="1"/>
  <c r="I23" i="32" s="1"/>
  <c r="K23" i="32" s="1"/>
  <c r="E24" i="32"/>
  <c r="G24" i="32" s="1"/>
  <c r="I24" i="32" s="1"/>
  <c r="K24" i="32" s="1"/>
  <c r="E20" i="32"/>
  <c r="G20" i="32" s="1"/>
  <c r="I20" i="32" s="1"/>
  <c r="K20" i="32" s="1"/>
  <c r="E13" i="32"/>
  <c r="G13" i="32" s="1"/>
  <c r="I13" i="32" s="1"/>
  <c r="K13" i="32" s="1"/>
  <c r="E14" i="32"/>
  <c r="G14" i="32" s="1"/>
  <c r="I14" i="32" s="1"/>
  <c r="K14" i="32" s="1"/>
  <c r="E15" i="32"/>
  <c r="G15" i="32" s="1"/>
  <c r="I15" i="32" s="1"/>
  <c r="K15" i="32" s="1"/>
  <c r="E16" i="32"/>
  <c r="G16" i="32" s="1"/>
  <c r="I16" i="32" s="1"/>
  <c r="K16" i="32" s="1"/>
  <c r="E12" i="32"/>
  <c r="G12" i="32" s="1"/>
  <c r="I12" i="32" s="1"/>
  <c r="K12" i="32" s="1"/>
  <c r="E6" i="32"/>
  <c r="E7" i="32"/>
  <c r="G7" i="32" s="1"/>
  <c r="I7" i="32" s="1"/>
  <c r="K7" i="32" s="1"/>
  <c r="E8" i="32"/>
  <c r="G8" i="32" s="1"/>
  <c r="I8" i="32" s="1"/>
  <c r="E9" i="32"/>
  <c r="G9" i="32" s="1"/>
  <c r="I9" i="32" s="1"/>
  <c r="K9" i="32" s="1"/>
  <c r="E5" i="32"/>
  <c r="G5" i="32" s="1"/>
  <c r="I5" i="32" s="1"/>
  <c r="K5" i="32" s="1"/>
  <c r="D90" i="32"/>
  <c r="O13" i="2" s="1"/>
  <c r="J25" i="17" s="1"/>
  <c r="D85" i="32"/>
  <c r="D84" i="32"/>
  <c r="D83" i="32"/>
  <c r="D82" i="32"/>
  <c r="D80" i="32"/>
  <c r="D65" i="32"/>
  <c r="D40" i="32"/>
  <c r="D33" i="32"/>
  <c r="O6" i="1"/>
  <c r="O7" i="1"/>
  <c r="O8" i="1"/>
  <c r="O11" i="1"/>
  <c r="O12" i="1"/>
  <c r="O13" i="1"/>
  <c r="O14" i="1"/>
  <c r="O17" i="1"/>
  <c r="O18" i="1"/>
  <c r="O19" i="1"/>
  <c r="O20" i="1"/>
  <c r="O23" i="1"/>
  <c r="O24" i="1"/>
  <c r="O25" i="1"/>
  <c r="O26" i="1"/>
  <c r="O29" i="1"/>
  <c r="O30" i="1"/>
  <c r="O31" i="1"/>
  <c r="O32" i="1"/>
  <c r="O35" i="1"/>
  <c r="O36" i="1"/>
  <c r="O38" i="1"/>
  <c r="O41" i="1"/>
  <c r="O42" i="1"/>
  <c r="O43" i="1"/>
  <c r="O44" i="1"/>
  <c r="O47" i="1"/>
  <c r="O48" i="1"/>
  <c r="O49" i="1"/>
  <c r="O50" i="1"/>
  <c r="O53" i="1"/>
  <c r="O54" i="1"/>
  <c r="O55" i="1"/>
  <c r="O56" i="1"/>
  <c r="O59" i="1"/>
  <c r="O60" i="1"/>
  <c r="O61" i="1"/>
  <c r="O62" i="1"/>
  <c r="O66" i="1"/>
  <c r="O67" i="1"/>
  <c r="O69" i="1"/>
  <c r="O72" i="1"/>
  <c r="O73" i="1"/>
  <c r="O74" i="1"/>
  <c r="O75" i="1"/>
  <c r="O81" i="1"/>
  <c r="O82" i="1"/>
  <c r="O85" i="1"/>
  <c r="O86" i="1"/>
  <c r="O87" i="1"/>
  <c r="O88" i="1"/>
  <c r="O91" i="1"/>
  <c r="O92" i="1"/>
  <c r="O93" i="1"/>
  <c r="O98" i="1"/>
  <c r="O99" i="1"/>
  <c r="O100" i="1"/>
  <c r="O101" i="1"/>
  <c r="O105" i="1"/>
  <c r="O106" i="1"/>
  <c r="O107" i="1"/>
  <c r="O108" i="1"/>
  <c r="O111" i="1"/>
  <c r="O112" i="1"/>
  <c r="O113" i="1"/>
  <c r="O114" i="1"/>
  <c r="O118" i="1"/>
  <c r="O119" i="1"/>
  <c r="O120" i="1"/>
  <c r="O121" i="1"/>
  <c r="O124" i="1"/>
  <c r="O125" i="1"/>
  <c r="O126" i="1"/>
  <c r="O127" i="1"/>
  <c r="O130" i="1"/>
  <c r="O131" i="1"/>
  <c r="O132" i="1"/>
  <c r="O133" i="1"/>
  <c r="O143" i="1"/>
  <c r="O144" i="1"/>
  <c r="O145" i="1"/>
  <c r="O146" i="1"/>
  <c r="O195" i="1"/>
  <c r="O196" i="1"/>
  <c r="O5" i="1"/>
  <c r="E144" i="1"/>
  <c r="G144" i="1" s="1"/>
  <c r="I144" i="1" s="1"/>
  <c r="K144" i="1" s="1"/>
  <c r="E145" i="1"/>
  <c r="G145" i="1" s="1"/>
  <c r="I145" i="1" s="1"/>
  <c r="K145" i="1" s="1"/>
  <c r="E146" i="1"/>
  <c r="G146" i="1" s="1"/>
  <c r="I146" i="1" s="1"/>
  <c r="K146" i="1" s="1"/>
  <c r="E143" i="1"/>
  <c r="G143" i="1" s="1"/>
  <c r="I143" i="1" s="1"/>
  <c r="K143" i="1" s="1"/>
  <c r="E131" i="1"/>
  <c r="G131" i="1" s="1"/>
  <c r="I131" i="1" s="1"/>
  <c r="K131" i="1" s="1"/>
  <c r="E132" i="1"/>
  <c r="G132" i="1" s="1"/>
  <c r="I132" i="1" s="1"/>
  <c r="K132" i="1" s="1"/>
  <c r="E133" i="1"/>
  <c r="G133" i="1" s="1"/>
  <c r="I133" i="1" s="1"/>
  <c r="K133" i="1" s="1"/>
  <c r="E130" i="1"/>
  <c r="G130" i="1" s="1"/>
  <c r="I130" i="1" s="1"/>
  <c r="K130" i="1" s="1"/>
  <c r="E125" i="1"/>
  <c r="G125" i="1" s="1"/>
  <c r="I125" i="1" s="1"/>
  <c r="K125" i="1" s="1"/>
  <c r="E126" i="1"/>
  <c r="G126" i="1" s="1"/>
  <c r="I126" i="1" s="1"/>
  <c r="K126" i="1" s="1"/>
  <c r="E127" i="1"/>
  <c r="G127" i="1" s="1"/>
  <c r="I127" i="1" s="1"/>
  <c r="K127" i="1" s="1"/>
  <c r="E124" i="1"/>
  <c r="G124" i="1" s="1"/>
  <c r="I124" i="1" s="1"/>
  <c r="K124" i="1" s="1"/>
  <c r="E119" i="1"/>
  <c r="G119" i="1" s="1"/>
  <c r="I119" i="1" s="1"/>
  <c r="K119" i="1" s="1"/>
  <c r="E120" i="1"/>
  <c r="G120" i="1" s="1"/>
  <c r="I120" i="1" s="1"/>
  <c r="K120" i="1" s="1"/>
  <c r="E121" i="1"/>
  <c r="G121" i="1" s="1"/>
  <c r="I121" i="1" s="1"/>
  <c r="K121" i="1" s="1"/>
  <c r="E118" i="1"/>
  <c r="G118" i="1" s="1"/>
  <c r="I118" i="1" s="1"/>
  <c r="K118" i="1" s="1"/>
  <c r="E112" i="1"/>
  <c r="G112" i="1" s="1"/>
  <c r="I112" i="1" s="1"/>
  <c r="K112" i="1" s="1"/>
  <c r="G113" i="1"/>
  <c r="I113" i="1" s="1"/>
  <c r="K113" i="1" s="1"/>
  <c r="E114" i="1"/>
  <c r="G114" i="1" s="1"/>
  <c r="I114" i="1" s="1"/>
  <c r="K114" i="1" s="1"/>
  <c r="E111" i="1"/>
  <c r="G111" i="1" s="1"/>
  <c r="I111" i="1" s="1"/>
  <c r="K111" i="1" s="1"/>
  <c r="E106" i="1"/>
  <c r="G106" i="1" s="1"/>
  <c r="I106" i="1" s="1"/>
  <c r="K106" i="1" s="1"/>
  <c r="E107" i="1"/>
  <c r="G107" i="1" s="1"/>
  <c r="I107" i="1" s="1"/>
  <c r="K107" i="1" s="1"/>
  <c r="E108" i="1"/>
  <c r="G108" i="1" s="1"/>
  <c r="I108" i="1" s="1"/>
  <c r="K108" i="1" s="1"/>
  <c r="E105" i="1"/>
  <c r="G105" i="1" s="1"/>
  <c r="I105" i="1" s="1"/>
  <c r="K105" i="1" s="1"/>
  <c r="E99" i="1"/>
  <c r="G99" i="1" s="1"/>
  <c r="I99" i="1" s="1"/>
  <c r="K99" i="1" s="1"/>
  <c r="E100" i="1"/>
  <c r="G100" i="1" s="1"/>
  <c r="I100" i="1" s="1"/>
  <c r="K100" i="1" s="1"/>
  <c r="E101" i="1"/>
  <c r="G101" i="1" s="1"/>
  <c r="I101" i="1" s="1"/>
  <c r="K101" i="1" s="1"/>
  <c r="E98" i="1"/>
  <c r="G98" i="1" s="1"/>
  <c r="I98" i="1" s="1"/>
  <c r="K98" i="1" s="1"/>
  <c r="E92" i="1"/>
  <c r="G92" i="1" s="1"/>
  <c r="I92" i="1" s="1"/>
  <c r="K92" i="1" s="1"/>
  <c r="E93" i="1"/>
  <c r="G93" i="1" s="1"/>
  <c r="I93" i="1" s="1"/>
  <c r="K93" i="1" s="1"/>
  <c r="E91" i="1"/>
  <c r="G91" i="1" s="1"/>
  <c r="I91" i="1" s="1"/>
  <c r="K91" i="1" s="1"/>
  <c r="E86" i="1"/>
  <c r="G86" i="1" s="1"/>
  <c r="I86" i="1" s="1"/>
  <c r="K86" i="1" s="1"/>
  <c r="G87" i="1"/>
  <c r="I87" i="1" s="1"/>
  <c r="K87" i="1" s="1"/>
  <c r="E88" i="1"/>
  <c r="G88" i="1" s="1"/>
  <c r="I88" i="1" s="1"/>
  <c r="K88" i="1" s="1"/>
  <c r="E85" i="1"/>
  <c r="G85" i="1" s="1"/>
  <c r="I85" i="1" s="1"/>
  <c r="K85" i="1" s="1"/>
  <c r="E81" i="1"/>
  <c r="G81" i="1" s="1"/>
  <c r="I81" i="1" s="1"/>
  <c r="K81" i="1" s="1"/>
  <c r="E82" i="1"/>
  <c r="G82" i="1" s="1"/>
  <c r="I82" i="1" s="1"/>
  <c r="K82" i="1" s="1"/>
  <c r="E73" i="1"/>
  <c r="G73" i="1" s="1"/>
  <c r="I73" i="1" s="1"/>
  <c r="K73" i="1" s="1"/>
  <c r="E74" i="1"/>
  <c r="G74" i="1" s="1"/>
  <c r="I74" i="1" s="1"/>
  <c r="K74" i="1" s="1"/>
  <c r="E75" i="1"/>
  <c r="G75" i="1" s="1"/>
  <c r="I75" i="1" s="1"/>
  <c r="K75" i="1" s="1"/>
  <c r="E72" i="1"/>
  <c r="G72" i="1" s="1"/>
  <c r="I72" i="1" s="1"/>
  <c r="K72" i="1" s="1"/>
  <c r="E67" i="1"/>
  <c r="G67" i="1" s="1"/>
  <c r="I67" i="1" s="1"/>
  <c r="K67" i="1" s="1"/>
  <c r="E68" i="1"/>
  <c r="G68" i="1" s="1"/>
  <c r="E69" i="1"/>
  <c r="G69" i="1" s="1"/>
  <c r="I69" i="1" s="1"/>
  <c r="K69" i="1" s="1"/>
  <c r="E66" i="1"/>
  <c r="G66" i="1" s="1"/>
  <c r="I66" i="1" s="1"/>
  <c r="K66" i="1" s="1"/>
  <c r="E60" i="1"/>
  <c r="G60" i="1" s="1"/>
  <c r="I60" i="1" s="1"/>
  <c r="K60" i="1" s="1"/>
  <c r="E61" i="1"/>
  <c r="G61" i="1" s="1"/>
  <c r="I61" i="1" s="1"/>
  <c r="K61" i="1" s="1"/>
  <c r="E62" i="1"/>
  <c r="G62" i="1" s="1"/>
  <c r="I62" i="1" s="1"/>
  <c r="K62" i="1" s="1"/>
  <c r="E59" i="1"/>
  <c r="G59" i="1" s="1"/>
  <c r="I59" i="1" s="1"/>
  <c r="K59" i="1" s="1"/>
  <c r="E54" i="1"/>
  <c r="G54" i="1" s="1"/>
  <c r="I54" i="1" s="1"/>
  <c r="K54" i="1" s="1"/>
  <c r="E55" i="1"/>
  <c r="G55" i="1" s="1"/>
  <c r="I55" i="1" s="1"/>
  <c r="K55" i="1" s="1"/>
  <c r="E56" i="1"/>
  <c r="G56" i="1" s="1"/>
  <c r="I56" i="1" s="1"/>
  <c r="K56" i="1" s="1"/>
  <c r="E53" i="1"/>
  <c r="G53" i="1" s="1"/>
  <c r="I53" i="1" s="1"/>
  <c r="K53" i="1" s="1"/>
  <c r="E48" i="1"/>
  <c r="G48" i="1" s="1"/>
  <c r="I48" i="1" s="1"/>
  <c r="K48" i="1" s="1"/>
  <c r="E50" i="1"/>
  <c r="G50" i="1" s="1"/>
  <c r="I50" i="1" s="1"/>
  <c r="K50" i="1" s="1"/>
  <c r="E47" i="1"/>
  <c r="G47" i="1" s="1"/>
  <c r="I47" i="1" s="1"/>
  <c r="K47" i="1" s="1"/>
  <c r="E42" i="1"/>
  <c r="G42" i="1" s="1"/>
  <c r="I42" i="1" s="1"/>
  <c r="K42" i="1" s="1"/>
  <c r="E43" i="1"/>
  <c r="G43" i="1" s="1"/>
  <c r="I43" i="1" s="1"/>
  <c r="K43" i="1" s="1"/>
  <c r="E44" i="1"/>
  <c r="G44" i="1" s="1"/>
  <c r="I44" i="1" s="1"/>
  <c r="K44" i="1" s="1"/>
  <c r="E41" i="1"/>
  <c r="G41" i="1" s="1"/>
  <c r="I41" i="1" s="1"/>
  <c r="K41" i="1" s="1"/>
  <c r="E36" i="1"/>
  <c r="G36" i="1" s="1"/>
  <c r="I36" i="1" s="1"/>
  <c r="K36" i="1" s="1"/>
  <c r="E38" i="1"/>
  <c r="G38" i="1" s="1"/>
  <c r="I38" i="1" s="1"/>
  <c r="K38" i="1" s="1"/>
  <c r="G35" i="1"/>
  <c r="I35" i="1" s="1"/>
  <c r="K35" i="1" s="1"/>
  <c r="E30" i="1"/>
  <c r="G30" i="1" s="1"/>
  <c r="I30" i="1" s="1"/>
  <c r="K30" i="1" s="1"/>
  <c r="E31" i="1"/>
  <c r="G31" i="1" s="1"/>
  <c r="I31" i="1" s="1"/>
  <c r="K31" i="1" s="1"/>
  <c r="E32" i="1"/>
  <c r="G32" i="1" s="1"/>
  <c r="I32" i="1" s="1"/>
  <c r="K32" i="1" s="1"/>
  <c r="E29" i="1"/>
  <c r="G29" i="1" s="1"/>
  <c r="I29" i="1" s="1"/>
  <c r="K29" i="1" s="1"/>
  <c r="E24" i="1"/>
  <c r="G24" i="1" s="1"/>
  <c r="I24" i="1" s="1"/>
  <c r="K24" i="1" s="1"/>
  <c r="E25" i="1"/>
  <c r="G25" i="1" s="1"/>
  <c r="I25" i="1" s="1"/>
  <c r="K25" i="1" s="1"/>
  <c r="E26" i="1"/>
  <c r="G26" i="1" s="1"/>
  <c r="I26" i="1" s="1"/>
  <c r="K26" i="1" s="1"/>
  <c r="E23" i="1"/>
  <c r="G23" i="1" s="1"/>
  <c r="I23" i="1" s="1"/>
  <c r="K23" i="1" s="1"/>
  <c r="E18" i="1"/>
  <c r="G18" i="1" s="1"/>
  <c r="I18" i="1" s="1"/>
  <c r="K18" i="1" s="1"/>
  <c r="E19" i="1"/>
  <c r="G19" i="1" s="1"/>
  <c r="I19" i="1" s="1"/>
  <c r="K19" i="1" s="1"/>
  <c r="E20" i="1"/>
  <c r="G20" i="1" s="1"/>
  <c r="I20" i="1" s="1"/>
  <c r="K20" i="1" s="1"/>
  <c r="E17" i="1"/>
  <c r="G17" i="1" s="1"/>
  <c r="I17" i="1" s="1"/>
  <c r="K17" i="1" s="1"/>
  <c r="E12" i="1"/>
  <c r="G12" i="1" s="1"/>
  <c r="I12" i="1" s="1"/>
  <c r="K12" i="1" s="1"/>
  <c r="E13" i="1"/>
  <c r="G13" i="1" s="1"/>
  <c r="I13" i="1" s="1"/>
  <c r="K13" i="1" s="1"/>
  <c r="E14" i="1"/>
  <c r="G14" i="1" s="1"/>
  <c r="I14" i="1" s="1"/>
  <c r="K14" i="1" s="1"/>
  <c r="E11" i="1"/>
  <c r="G11" i="1" s="1"/>
  <c r="I11" i="1" s="1"/>
  <c r="K11" i="1" s="1"/>
  <c r="E6" i="1"/>
  <c r="E7" i="1"/>
  <c r="E8" i="1"/>
  <c r="G8" i="1" s="1"/>
  <c r="I8" i="1" s="1"/>
  <c r="K8" i="1" s="1"/>
  <c r="E5" i="1"/>
  <c r="D197" i="1"/>
  <c r="E197" i="1"/>
  <c r="D188" i="1"/>
  <c r="D187" i="1"/>
  <c r="D186" i="1"/>
  <c r="D185" i="1"/>
  <c r="D147" i="1"/>
  <c r="D134" i="1"/>
  <c r="D128" i="1"/>
  <c r="D122" i="1"/>
  <c r="D115" i="1"/>
  <c r="D109" i="1"/>
  <c r="D102" i="1"/>
  <c r="D95" i="1"/>
  <c r="D89" i="1"/>
  <c r="D83" i="1"/>
  <c r="D76" i="1"/>
  <c r="D70" i="1"/>
  <c r="D63" i="1"/>
  <c r="D57" i="1"/>
  <c r="D51" i="1"/>
  <c r="D45" i="1"/>
  <c r="D39" i="1"/>
  <c r="D33" i="1"/>
  <c r="D27" i="1"/>
  <c r="D21" i="1"/>
  <c r="D15" i="1"/>
  <c r="D9" i="1"/>
  <c r="S134" i="6"/>
  <c r="S135" i="6"/>
  <c r="S136" i="6"/>
  <c r="S137" i="6"/>
  <c r="S138" i="6"/>
  <c r="S140" i="6"/>
  <c r="S141" i="6"/>
  <c r="S142" i="6"/>
  <c r="S144" i="6"/>
  <c r="E170" i="6"/>
  <c r="G170" i="6" s="1"/>
  <c r="I170" i="6" s="1"/>
  <c r="E167" i="6"/>
  <c r="E168" i="6"/>
  <c r="E166" i="6"/>
  <c r="E161" i="6"/>
  <c r="E162" i="6"/>
  <c r="E163" i="6"/>
  <c r="E164" i="6"/>
  <c r="E160" i="6"/>
  <c r="E157" i="6"/>
  <c r="G157" i="6" s="1"/>
  <c r="I157" i="6" s="1"/>
  <c r="E154" i="6"/>
  <c r="E155" i="6"/>
  <c r="E153" i="6"/>
  <c r="E148" i="6"/>
  <c r="E149" i="6"/>
  <c r="E150" i="6"/>
  <c r="E151" i="6"/>
  <c r="E147" i="6"/>
  <c r="E144" i="6"/>
  <c r="G144" i="6" s="1"/>
  <c r="I144" i="6" s="1"/>
  <c r="K144" i="6" s="1"/>
  <c r="M144" i="6" s="1"/>
  <c r="E141" i="6"/>
  <c r="G141" i="6" s="1"/>
  <c r="I141" i="6" s="1"/>
  <c r="K141" i="6" s="1"/>
  <c r="M141" i="6" s="1"/>
  <c r="E142" i="6"/>
  <c r="G142" i="6" s="1"/>
  <c r="I142" i="6" s="1"/>
  <c r="K142" i="6" s="1"/>
  <c r="M142" i="6" s="1"/>
  <c r="E140" i="6"/>
  <c r="G140" i="6" s="1"/>
  <c r="I140" i="6" s="1"/>
  <c r="K140" i="6" s="1"/>
  <c r="E135" i="6"/>
  <c r="G135" i="6" s="1"/>
  <c r="I135" i="6" s="1"/>
  <c r="K135" i="6" s="1"/>
  <c r="M135" i="6" s="1"/>
  <c r="E136" i="6"/>
  <c r="G136" i="6" s="1"/>
  <c r="I136" i="6" s="1"/>
  <c r="K136" i="6" s="1"/>
  <c r="M136" i="6" s="1"/>
  <c r="E137" i="6"/>
  <c r="G137" i="6" s="1"/>
  <c r="I137" i="6" s="1"/>
  <c r="K137" i="6" s="1"/>
  <c r="M137" i="6" s="1"/>
  <c r="E138" i="6"/>
  <c r="G138" i="6" s="1"/>
  <c r="I138" i="6" s="1"/>
  <c r="K138" i="6" s="1"/>
  <c r="M138" i="6" s="1"/>
  <c r="E134" i="6"/>
  <c r="G134" i="6" s="1"/>
  <c r="I134" i="6" s="1"/>
  <c r="K134" i="6" s="1"/>
  <c r="E131" i="6"/>
  <c r="G131" i="6" s="1"/>
  <c r="I131" i="6" s="1"/>
  <c r="E128" i="6"/>
  <c r="E129" i="6"/>
  <c r="E127" i="6"/>
  <c r="E122" i="6"/>
  <c r="E123" i="6"/>
  <c r="E124" i="6"/>
  <c r="E125" i="6"/>
  <c r="E121" i="6"/>
  <c r="E118" i="6"/>
  <c r="G118" i="6" s="1"/>
  <c r="I118" i="6" s="1"/>
  <c r="K118" i="6" s="1"/>
  <c r="E115" i="6"/>
  <c r="G115" i="6" s="1"/>
  <c r="I115" i="6" s="1"/>
  <c r="E116" i="6"/>
  <c r="G116" i="6" s="1"/>
  <c r="I116" i="6" s="1"/>
  <c r="K116" i="6" s="1"/>
  <c r="E114" i="6"/>
  <c r="E109" i="6"/>
  <c r="E110" i="6"/>
  <c r="E111" i="6"/>
  <c r="E112" i="6"/>
  <c r="E108" i="6"/>
  <c r="E105" i="6"/>
  <c r="G105" i="6" s="1"/>
  <c r="I105" i="6" s="1"/>
  <c r="K105" i="6" s="1"/>
  <c r="E102" i="6"/>
  <c r="E103" i="6"/>
  <c r="E101" i="6"/>
  <c r="E96" i="6"/>
  <c r="E97" i="6"/>
  <c r="E98" i="6"/>
  <c r="G98" i="6" s="1"/>
  <c r="I98" i="6" s="1"/>
  <c r="K98" i="6" s="1"/>
  <c r="E99" i="6"/>
  <c r="G99" i="6" s="1"/>
  <c r="I99" i="6" s="1"/>
  <c r="K99" i="6" s="1"/>
  <c r="E95" i="6"/>
  <c r="E92" i="6"/>
  <c r="E89" i="6"/>
  <c r="E90" i="6"/>
  <c r="E88" i="6"/>
  <c r="E83" i="6"/>
  <c r="E84" i="6"/>
  <c r="E85" i="6"/>
  <c r="E86" i="6"/>
  <c r="E82" i="6"/>
  <c r="E79" i="6"/>
  <c r="G79" i="6" s="1"/>
  <c r="I79" i="6" s="1"/>
  <c r="E76" i="6"/>
  <c r="G76" i="6" s="1"/>
  <c r="I76" i="6" s="1"/>
  <c r="E77" i="6"/>
  <c r="G77" i="6" s="1"/>
  <c r="I77" i="6" s="1"/>
  <c r="E75" i="6"/>
  <c r="G75" i="6" s="1"/>
  <c r="I75" i="6" s="1"/>
  <c r="K75" i="6" s="1"/>
  <c r="E70" i="6"/>
  <c r="G70" i="6" s="1"/>
  <c r="E71" i="6"/>
  <c r="G71" i="6" s="1"/>
  <c r="I71" i="6" s="1"/>
  <c r="K71" i="6" s="1"/>
  <c r="E72" i="6"/>
  <c r="G72" i="6" s="1"/>
  <c r="I72" i="6" s="1"/>
  <c r="E73" i="6"/>
  <c r="G73" i="6" s="1"/>
  <c r="I73" i="6" s="1"/>
  <c r="E69" i="6"/>
  <c r="G69" i="6" s="1"/>
  <c r="I69" i="6" s="1"/>
  <c r="K69" i="6" s="1"/>
  <c r="E66" i="6"/>
  <c r="G66" i="6" s="1"/>
  <c r="I66" i="6" s="1"/>
  <c r="E63" i="6"/>
  <c r="G63" i="6" s="1"/>
  <c r="I63" i="6" s="1"/>
  <c r="E64" i="6"/>
  <c r="G64" i="6" s="1"/>
  <c r="I64" i="6" s="1"/>
  <c r="E62" i="6"/>
  <c r="G62" i="6" s="1"/>
  <c r="I62" i="6" s="1"/>
  <c r="E57" i="6"/>
  <c r="G57" i="6" s="1"/>
  <c r="E58" i="6"/>
  <c r="G58" i="6" s="1"/>
  <c r="I58" i="6" s="1"/>
  <c r="E59" i="6"/>
  <c r="G59" i="6" s="1"/>
  <c r="I59" i="6" s="1"/>
  <c r="E60" i="6"/>
  <c r="G60" i="6" s="1"/>
  <c r="I60" i="6" s="1"/>
  <c r="E56" i="6"/>
  <c r="G56" i="6" s="1"/>
  <c r="E53" i="6"/>
  <c r="G53" i="6" s="1"/>
  <c r="I53" i="6" s="1"/>
  <c r="E50" i="6"/>
  <c r="G50" i="6" s="1"/>
  <c r="I50" i="6" s="1"/>
  <c r="E51" i="6"/>
  <c r="G51" i="6" s="1"/>
  <c r="I51" i="6" s="1"/>
  <c r="E49" i="6"/>
  <c r="G49" i="6" s="1"/>
  <c r="I49" i="6" s="1"/>
  <c r="E44" i="6"/>
  <c r="G44" i="6" s="1"/>
  <c r="E45" i="6"/>
  <c r="G45" i="6" s="1"/>
  <c r="I45" i="6" s="1"/>
  <c r="E46" i="6"/>
  <c r="G46" i="6" s="1"/>
  <c r="I46" i="6" s="1"/>
  <c r="E47" i="6"/>
  <c r="G47" i="6" s="1"/>
  <c r="I47" i="6" s="1"/>
  <c r="K47" i="6" s="1"/>
  <c r="E43" i="6"/>
  <c r="G43" i="6" s="1"/>
  <c r="E40" i="6"/>
  <c r="G40" i="6" s="1"/>
  <c r="I40" i="6" s="1"/>
  <c r="S40" i="6" s="1"/>
  <c r="E37" i="6"/>
  <c r="G37" i="6" s="1"/>
  <c r="I37" i="6" s="1"/>
  <c r="E38" i="6"/>
  <c r="G38" i="6" s="1"/>
  <c r="I38" i="6" s="1"/>
  <c r="E36" i="6"/>
  <c r="G36" i="6" s="1"/>
  <c r="I36" i="6" s="1"/>
  <c r="E31" i="6"/>
  <c r="G31" i="6" s="1"/>
  <c r="E32" i="6"/>
  <c r="G32" i="6" s="1"/>
  <c r="I32" i="6" s="1"/>
  <c r="E33" i="6"/>
  <c r="G33" i="6" s="1"/>
  <c r="I33" i="6" s="1"/>
  <c r="K33" i="6" s="1"/>
  <c r="E34" i="6"/>
  <c r="G34" i="6" s="1"/>
  <c r="I34" i="6" s="1"/>
  <c r="E30" i="6"/>
  <c r="G30" i="6" s="1"/>
  <c r="E27" i="6"/>
  <c r="G27" i="6" s="1"/>
  <c r="I27" i="6" s="1"/>
  <c r="E24" i="6"/>
  <c r="G24" i="6" s="1"/>
  <c r="E25" i="6"/>
  <c r="G25" i="6" s="1"/>
  <c r="I25" i="6" s="1"/>
  <c r="E23" i="6"/>
  <c r="G23" i="6" s="1"/>
  <c r="I23" i="6" s="1"/>
  <c r="E18" i="6"/>
  <c r="G18" i="6" s="1"/>
  <c r="E19" i="6"/>
  <c r="G19" i="6" s="1"/>
  <c r="I19" i="6" s="1"/>
  <c r="E20" i="6"/>
  <c r="G20" i="6" s="1"/>
  <c r="I20" i="6" s="1"/>
  <c r="E21" i="6"/>
  <c r="G21" i="6" s="1"/>
  <c r="I21" i="6" s="1"/>
  <c r="E17" i="6"/>
  <c r="G17" i="6" s="1"/>
  <c r="I17" i="6" s="1"/>
  <c r="K17" i="6" s="1"/>
  <c r="E14" i="6"/>
  <c r="E11" i="6"/>
  <c r="E12" i="6"/>
  <c r="E10" i="6"/>
  <c r="E5" i="6"/>
  <c r="E6" i="6"/>
  <c r="E7" i="6"/>
  <c r="E8" i="6"/>
  <c r="E4" i="6"/>
  <c r="D169" i="6"/>
  <c r="D165" i="6"/>
  <c r="D156" i="6"/>
  <c r="D152" i="6"/>
  <c r="D143" i="6"/>
  <c r="D139" i="6"/>
  <c r="D130" i="6"/>
  <c r="D126" i="6"/>
  <c r="D117" i="6"/>
  <c r="D113" i="6"/>
  <c r="D104" i="6"/>
  <c r="D100" i="6"/>
  <c r="D93" i="6"/>
  <c r="D78" i="6"/>
  <c r="D74" i="6"/>
  <c r="D65" i="6"/>
  <c r="D61" i="6"/>
  <c r="D52" i="6"/>
  <c r="D48" i="6"/>
  <c r="D39" i="6"/>
  <c r="D35" i="6"/>
  <c r="D26" i="6"/>
  <c r="D22" i="6"/>
  <c r="D13" i="6"/>
  <c r="D9" i="6"/>
  <c r="Q21" i="30"/>
  <c r="E27" i="30"/>
  <c r="E28" i="30"/>
  <c r="G28" i="30" s="1"/>
  <c r="I28" i="30" s="1"/>
  <c r="E21" i="30"/>
  <c r="G21" i="30" s="1"/>
  <c r="I21" i="30" s="1"/>
  <c r="K21" i="30" s="1"/>
  <c r="M21" i="30" s="1"/>
  <c r="G22" i="30"/>
  <c r="I22" i="30" s="1"/>
  <c r="K22" i="30" s="1"/>
  <c r="M22" i="30" s="1"/>
  <c r="O22" i="30" s="1"/>
  <c r="E23" i="30"/>
  <c r="E18" i="30"/>
  <c r="E14" i="30"/>
  <c r="G14" i="30" s="1"/>
  <c r="I14" i="30" s="1"/>
  <c r="K14" i="30" s="1"/>
  <c r="M14" i="30" s="1"/>
  <c r="O14" i="30" s="1"/>
  <c r="Q14" i="30" s="1"/>
  <c r="E16" i="30"/>
  <c r="G16" i="30" s="1"/>
  <c r="I16" i="30" s="1"/>
  <c r="K16" i="30" s="1"/>
  <c r="M16" i="30" s="1"/>
  <c r="O16" i="30" s="1"/>
  <c r="Q16" i="30" s="1"/>
  <c r="E13" i="30"/>
  <c r="E8" i="30"/>
  <c r="G8" i="30" s="1"/>
  <c r="I8" i="30" s="1"/>
  <c r="K8" i="30" s="1"/>
  <c r="E7" i="30"/>
  <c r="G7" i="30" s="1"/>
  <c r="I7" i="30" s="1"/>
  <c r="K7" i="30" s="1"/>
  <c r="M7" i="30" s="1"/>
  <c r="E4" i="30"/>
  <c r="D24" i="30"/>
  <c r="D17" i="30"/>
  <c r="D12" i="30"/>
  <c r="D6" i="30"/>
  <c r="D5" i="30" s="1"/>
  <c r="O59" i="5"/>
  <c r="O70" i="5"/>
  <c r="O71" i="5"/>
  <c r="O79" i="5"/>
  <c r="O80" i="5"/>
  <c r="O81" i="5"/>
  <c r="O85" i="5"/>
  <c r="O86" i="5"/>
  <c r="O88" i="5"/>
  <c r="O89" i="5"/>
  <c r="O90" i="5"/>
  <c r="O92" i="5"/>
  <c r="O93" i="5"/>
  <c r="O94" i="5"/>
  <c r="O95" i="5"/>
  <c r="O99" i="5"/>
  <c r="O104" i="5"/>
  <c r="O106" i="5"/>
  <c r="O107" i="5"/>
  <c r="O108" i="5"/>
  <c r="O109" i="5"/>
  <c r="O111" i="5"/>
  <c r="O112" i="5"/>
  <c r="O113" i="5"/>
  <c r="O114" i="5"/>
  <c r="O125" i="5"/>
  <c r="O126" i="5"/>
  <c r="O127" i="5"/>
  <c r="O130" i="5"/>
  <c r="O131" i="5"/>
  <c r="O132" i="5"/>
  <c r="O133" i="5"/>
  <c r="O135" i="5"/>
  <c r="O136" i="5"/>
  <c r="O138" i="5"/>
  <c r="O141" i="5"/>
  <c r="O143" i="5"/>
  <c r="O146" i="5"/>
  <c r="O147" i="5"/>
  <c r="O148" i="5"/>
  <c r="O150" i="5"/>
  <c r="O151" i="5"/>
  <c r="O154" i="5"/>
  <c r="O157" i="5"/>
  <c r="E157" i="5"/>
  <c r="E154" i="5"/>
  <c r="G151" i="5"/>
  <c r="I151" i="5" s="1"/>
  <c r="K151" i="5" s="1"/>
  <c r="G150" i="5"/>
  <c r="I150" i="5" s="1"/>
  <c r="K150" i="5" s="1"/>
  <c r="G147" i="5"/>
  <c r="I147" i="5" s="1"/>
  <c r="K147" i="5" s="1"/>
  <c r="E148" i="5"/>
  <c r="G148" i="5" s="1"/>
  <c r="I148" i="5" s="1"/>
  <c r="K148" i="5" s="1"/>
  <c r="E146" i="5"/>
  <c r="G146" i="5" s="1"/>
  <c r="I146" i="5" s="1"/>
  <c r="K146" i="5" s="1"/>
  <c r="D156" i="5"/>
  <c r="G143" i="5"/>
  <c r="K143" i="5" s="1"/>
  <c r="E141" i="5"/>
  <c r="G141" i="5" s="1"/>
  <c r="I141" i="5" s="1"/>
  <c r="K141" i="5" s="1"/>
  <c r="E138" i="5"/>
  <c r="G136" i="5"/>
  <c r="I136" i="5" s="1"/>
  <c r="K136" i="5" s="1"/>
  <c r="E135" i="5"/>
  <c r="E131" i="5"/>
  <c r="G131" i="5" s="1"/>
  <c r="I131" i="5" s="1"/>
  <c r="K131" i="5" s="1"/>
  <c r="E132" i="5"/>
  <c r="G132" i="5" s="1"/>
  <c r="I132" i="5" s="1"/>
  <c r="K132" i="5" s="1"/>
  <c r="E133" i="5"/>
  <c r="G133" i="5" s="1"/>
  <c r="I133" i="5" s="1"/>
  <c r="K133" i="5" s="1"/>
  <c r="E130" i="5"/>
  <c r="G130" i="5" s="1"/>
  <c r="I130" i="5" s="1"/>
  <c r="G125" i="5"/>
  <c r="I125" i="5" s="1"/>
  <c r="K125" i="5" s="1"/>
  <c r="E126" i="5"/>
  <c r="G126" i="5" s="1"/>
  <c r="I126" i="5" s="1"/>
  <c r="K126" i="5" s="1"/>
  <c r="G127" i="5"/>
  <c r="I127" i="5" s="1"/>
  <c r="K127" i="5" s="1"/>
  <c r="E118" i="5"/>
  <c r="E107" i="5"/>
  <c r="G107" i="5" s="1"/>
  <c r="I107" i="5" s="1"/>
  <c r="K107" i="5" s="1"/>
  <c r="E108" i="5"/>
  <c r="G108" i="5" s="1"/>
  <c r="I108" i="5" s="1"/>
  <c r="K108" i="5" s="1"/>
  <c r="E109" i="5"/>
  <c r="G109" i="5" s="1"/>
  <c r="I109" i="5" s="1"/>
  <c r="K109" i="5" s="1"/>
  <c r="E111" i="5"/>
  <c r="G111" i="5" s="1"/>
  <c r="I111" i="5" s="1"/>
  <c r="K111" i="5" s="1"/>
  <c r="E112" i="5"/>
  <c r="G112" i="5" s="1"/>
  <c r="I112" i="5" s="1"/>
  <c r="K112" i="5" s="1"/>
  <c r="E113" i="5"/>
  <c r="G113" i="5" s="1"/>
  <c r="I113" i="5" s="1"/>
  <c r="K113" i="5" s="1"/>
  <c r="E114" i="5"/>
  <c r="G114" i="5" s="1"/>
  <c r="I114" i="5" s="1"/>
  <c r="K114" i="5" s="1"/>
  <c r="E106" i="5"/>
  <c r="G104" i="5"/>
  <c r="I104" i="5" s="1"/>
  <c r="K104" i="5" s="1"/>
  <c r="E99" i="5"/>
  <c r="E98" i="5" s="1"/>
  <c r="D98" i="5"/>
  <c r="E93" i="5"/>
  <c r="G93" i="5" s="1"/>
  <c r="I93" i="5" s="1"/>
  <c r="K93" i="5" s="1"/>
  <c r="E94" i="5"/>
  <c r="G94" i="5" s="1"/>
  <c r="I94" i="5" s="1"/>
  <c r="K94" i="5" s="1"/>
  <c r="E95" i="5"/>
  <c r="G95" i="5" s="1"/>
  <c r="I95" i="5" s="1"/>
  <c r="K95" i="5" s="1"/>
  <c r="E92" i="5"/>
  <c r="E89" i="5"/>
  <c r="G89" i="5" s="1"/>
  <c r="I89" i="5" s="1"/>
  <c r="K89" i="5" s="1"/>
  <c r="E90" i="5"/>
  <c r="G90" i="5" s="1"/>
  <c r="I90" i="5" s="1"/>
  <c r="K90" i="5" s="1"/>
  <c r="E88" i="5"/>
  <c r="G88" i="5" s="1"/>
  <c r="I88" i="5" s="1"/>
  <c r="K88" i="5" s="1"/>
  <c r="E86" i="5"/>
  <c r="G86" i="5" s="1"/>
  <c r="I86" i="5" s="1"/>
  <c r="K86" i="5" s="1"/>
  <c r="E85" i="5"/>
  <c r="G85" i="5" s="1"/>
  <c r="I85" i="5" s="1"/>
  <c r="E80" i="5"/>
  <c r="G80" i="5" s="1"/>
  <c r="I80" i="5" s="1"/>
  <c r="K80" i="5" s="1"/>
  <c r="G81" i="5"/>
  <c r="I81" i="5" s="1"/>
  <c r="K81" i="5" s="1"/>
  <c r="E79" i="5"/>
  <c r="G79" i="5" s="1"/>
  <c r="I79" i="5" s="1"/>
  <c r="K79" i="5" s="1"/>
  <c r="E71" i="5"/>
  <c r="E57" i="5"/>
  <c r="E59" i="5"/>
  <c r="G59" i="5" s="1"/>
  <c r="I59" i="5" s="1"/>
  <c r="K59" i="5" s="1"/>
  <c r="E54" i="5"/>
  <c r="E41" i="5"/>
  <c r="E40" i="5"/>
  <c r="E35" i="5"/>
  <c r="E34" i="5"/>
  <c r="E22" i="5"/>
  <c r="G22" i="5" s="1"/>
  <c r="I22" i="5" s="1"/>
  <c r="E23" i="5"/>
  <c r="E24" i="5"/>
  <c r="E25" i="5"/>
  <c r="E26" i="5"/>
  <c r="E28" i="5"/>
  <c r="E30" i="5"/>
  <c r="D33" i="5"/>
  <c r="E7" i="5"/>
  <c r="E8" i="5"/>
  <c r="E9" i="5"/>
  <c r="E10" i="5"/>
  <c r="E11" i="5"/>
  <c r="D13" i="5"/>
  <c r="E6" i="5"/>
  <c r="AB18" i="41"/>
  <c r="AB19" i="41"/>
  <c r="AB21" i="41"/>
  <c r="AB22" i="41"/>
  <c r="AB23" i="41"/>
  <c r="AB25" i="41"/>
  <c r="AA11" i="41"/>
  <c r="Q18" i="41"/>
  <c r="S18" i="41" s="1"/>
  <c r="U18" i="41" s="1"/>
  <c r="W18" i="41" s="1"/>
  <c r="Q19" i="41"/>
  <c r="S19" i="41" s="1"/>
  <c r="U19" i="41" s="1"/>
  <c r="W19" i="41" s="1"/>
  <c r="Q22" i="41"/>
  <c r="S22" i="41" s="1"/>
  <c r="U22" i="41" s="1"/>
  <c r="W22" i="41" s="1"/>
  <c r="Q23" i="41"/>
  <c r="S23" i="41" s="1"/>
  <c r="U23" i="41" s="1"/>
  <c r="W23" i="41" s="1"/>
  <c r="Q21" i="41"/>
  <c r="S21" i="41" s="1"/>
  <c r="U21" i="41" s="1"/>
  <c r="W21" i="41" s="1"/>
  <c r="C21" i="41"/>
  <c r="K28" i="30" l="1"/>
  <c r="M28" i="30" s="1"/>
  <c r="K57" i="1"/>
  <c r="K63" i="1"/>
  <c r="K76" i="1"/>
  <c r="K86" i="32"/>
  <c r="K65" i="32"/>
  <c r="K8" i="32"/>
  <c r="K15" i="1"/>
  <c r="K21" i="1"/>
  <c r="K27" i="1"/>
  <c r="K33" i="1"/>
  <c r="K89" i="1"/>
  <c r="K33" i="32"/>
  <c r="K80" i="32"/>
  <c r="K22" i="5"/>
  <c r="K17" i="32"/>
  <c r="K87" i="5"/>
  <c r="K145" i="5"/>
  <c r="K78" i="5"/>
  <c r="K140" i="5"/>
  <c r="K139" i="5" s="1"/>
  <c r="K149" i="5"/>
  <c r="K6" i="30"/>
  <c r="M8" i="30"/>
  <c r="N8" i="30" s="1"/>
  <c r="Q8" i="30" s="1"/>
  <c r="M17" i="6"/>
  <c r="K20" i="6"/>
  <c r="K25" i="6"/>
  <c r="K27" i="6"/>
  <c r="K34" i="6"/>
  <c r="K32" i="6"/>
  <c r="K36" i="6"/>
  <c r="K37" i="6"/>
  <c r="K46" i="6"/>
  <c r="K51" i="6"/>
  <c r="K53" i="6"/>
  <c r="K60" i="6"/>
  <c r="K58" i="6"/>
  <c r="K62" i="6"/>
  <c r="K63" i="6"/>
  <c r="M69" i="6"/>
  <c r="K72" i="6"/>
  <c r="K77" i="6"/>
  <c r="K79" i="6"/>
  <c r="M98" i="6"/>
  <c r="N98" i="6"/>
  <c r="M105" i="6"/>
  <c r="N105" i="6" s="1"/>
  <c r="K115" i="6"/>
  <c r="K131" i="6"/>
  <c r="M140" i="6"/>
  <c r="M143" i="6" s="1"/>
  <c r="K143" i="6"/>
  <c r="K157" i="6"/>
  <c r="K45" i="1"/>
  <c r="K102" i="1"/>
  <c r="K109" i="1"/>
  <c r="K115" i="1"/>
  <c r="K122" i="1"/>
  <c r="K128" i="1"/>
  <c r="K134" i="1"/>
  <c r="K147" i="1"/>
  <c r="K25" i="32"/>
  <c r="K44" i="11"/>
  <c r="K73" i="11"/>
  <c r="K79" i="11" s="1"/>
  <c r="K192" i="1" s="1"/>
  <c r="I79" i="11"/>
  <c r="I192" i="1" s="1"/>
  <c r="Q8" i="13"/>
  <c r="I84" i="5"/>
  <c r="K85" i="5"/>
  <c r="K84" i="5" s="1"/>
  <c r="I129" i="5"/>
  <c r="K130" i="5"/>
  <c r="K129" i="5" s="1"/>
  <c r="N7" i="30"/>
  <c r="Q7" i="30" s="1"/>
  <c r="K21" i="6"/>
  <c r="K19" i="6"/>
  <c r="K23" i="6"/>
  <c r="M33" i="6"/>
  <c r="N33" i="6"/>
  <c r="K38" i="6"/>
  <c r="M47" i="6"/>
  <c r="N47" i="6"/>
  <c r="S47" i="6" s="1"/>
  <c r="K45" i="6"/>
  <c r="K49" i="6"/>
  <c r="K50" i="6"/>
  <c r="K59" i="6"/>
  <c r="K64" i="6"/>
  <c r="K66" i="6"/>
  <c r="K73" i="6"/>
  <c r="M71" i="6"/>
  <c r="S71" i="6"/>
  <c r="M75" i="6"/>
  <c r="N75" i="6"/>
  <c r="K76" i="6"/>
  <c r="M99" i="6"/>
  <c r="N99" i="6"/>
  <c r="M116" i="6"/>
  <c r="N116" i="6" s="1"/>
  <c r="M118" i="6"/>
  <c r="N118" i="6" s="1"/>
  <c r="S118" i="6" s="1"/>
  <c r="M134" i="6"/>
  <c r="M139" i="6" s="1"/>
  <c r="K139" i="6"/>
  <c r="K145" i="6" s="1"/>
  <c r="K170" i="6"/>
  <c r="K81" i="11"/>
  <c r="M52" i="32"/>
  <c r="I86" i="32"/>
  <c r="I17" i="32"/>
  <c r="I65" i="32"/>
  <c r="I25" i="32"/>
  <c r="I33" i="32"/>
  <c r="I80" i="32"/>
  <c r="I87" i="5"/>
  <c r="I140" i="5"/>
  <c r="I139" i="5" s="1"/>
  <c r="I145" i="5"/>
  <c r="I149" i="5"/>
  <c r="I78" i="5"/>
  <c r="I57" i="1"/>
  <c r="I45" i="1"/>
  <c r="I51" i="1"/>
  <c r="K51" i="1" s="1"/>
  <c r="I102" i="1"/>
  <c r="I109" i="1"/>
  <c r="I115" i="1"/>
  <c r="I122" i="1"/>
  <c r="I128" i="1"/>
  <c r="I134" i="1"/>
  <c r="I147" i="1"/>
  <c r="I63" i="1"/>
  <c r="I76" i="1"/>
  <c r="I15" i="1"/>
  <c r="I21" i="1"/>
  <c r="I27" i="1"/>
  <c r="I33" i="1"/>
  <c r="I68" i="1"/>
  <c r="K68" i="1" s="1"/>
  <c r="K70" i="1" s="1"/>
  <c r="I89" i="1"/>
  <c r="G34" i="5"/>
  <c r="I34" i="5" s="1"/>
  <c r="K34" i="5" s="1"/>
  <c r="E33" i="5"/>
  <c r="I6" i="30"/>
  <c r="I30" i="6"/>
  <c r="K30" i="6" s="1"/>
  <c r="I31" i="6"/>
  <c r="S116" i="6"/>
  <c r="G5" i="1"/>
  <c r="I5" i="1" s="1"/>
  <c r="K5" i="1" s="1"/>
  <c r="E185" i="1"/>
  <c r="I43" i="6"/>
  <c r="I92" i="6"/>
  <c r="K92" i="6" s="1"/>
  <c r="M92" i="6" s="1"/>
  <c r="S105" i="6"/>
  <c r="G71" i="5"/>
  <c r="E70" i="5"/>
  <c r="G106" i="5"/>
  <c r="E105" i="5"/>
  <c r="D18" i="41"/>
  <c r="E16" i="2"/>
  <c r="G59" i="11"/>
  <c r="I24" i="6"/>
  <c r="I56" i="6"/>
  <c r="I57" i="6"/>
  <c r="G7" i="1"/>
  <c r="I7" i="1" s="1"/>
  <c r="G45" i="11"/>
  <c r="I45" i="11" s="1"/>
  <c r="K45" i="11" s="1"/>
  <c r="E53" i="11"/>
  <c r="E88" i="32" s="1"/>
  <c r="I44" i="6"/>
  <c r="I18" i="6"/>
  <c r="K18" i="6" s="1"/>
  <c r="I70" i="6"/>
  <c r="G6" i="1"/>
  <c r="I6" i="1" s="1"/>
  <c r="K6" i="1" s="1"/>
  <c r="E186" i="1"/>
  <c r="M5" i="13"/>
  <c r="K13" i="13"/>
  <c r="G25" i="11"/>
  <c r="I25" i="11" s="1"/>
  <c r="K25" i="11" s="1"/>
  <c r="G79" i="11"/>
  <c r="G192" i="1" s="1"/>
  <c r="D54" i="6"/>
  <c r="G65" i="6"/>
  <c r="I65" i="6" s="1"/>
  <c r="G6" i="30"/>
  <c r="G26" i="6"/>
  <c r="I26" i="6" s="1"/>
  <c r="G78" i="6"/>
  <c r="I78" i="6" s="1"/>
  <c r="G45" i="1"/>
  <c r="G51" i="1"/>
  <c r="L8" i="16"/>
  <c r="L13" i="16"/>
  <c r="G149" i="5"/>
  <c r="G40" i="5"/>
  <c r="I40" i="5" s="1"/>
  <c r="K40" i="5" s="1"/>
  <c r="G74" i="6"/>
  <c r="I74" i="6" s="1"/>
  <c r="S69" i="6"/>
  <c r="G22" i="6"/>
  <c r="I22" i="6" s="1"/>
  <c r="S17" i="6"/>
  <c r="L8" i="5"/>
  <c r="O8" i="5" s="1"/>
  <c r="G8" i="5"/>
  <c r="I8" i="5" s="1"/>
  <c r="K8" i="5" s="1"/>
  <c r="O55" i="5"/>
  <c r="G55" i="5"/>
  <c r="I55" i="5" s="1"/>
  <c r="K55" i="5" s="1"/>
  <c r="E177" i="6"/>
  <c r="G177" i="6" s="1"/>
  <c r="G8" i="6"/>
  <c r="I8" i="6" s="1"/>
  <c r="K8" i="6" s="1"/>
  <c r="M8" i="6" s="1"/>
  <c r="E179" i="6"/>
  <c r="G179" i="6" s="1"/>
  <c r="G10" i="6"/>
  <c r="I10" i="6" s="1"/>
  <c r="G114" i="6"/>
  <c r="G122" i="6"/>
  <c r="G155" i="6"/>
  <c r="I155" i="6" s="1"/>
  <c r="M6" i="32"/>
  <c r="O6" i="32" s="1"/>
  <c r="G6" i="32"/>
  <c r="E21" i="2"/>
  <c r="G154" i="5"/>
  <c r="I154" i="5" s="1"/>
  <c r="K154" i="5" s="1"/>
  <c r="D23" i="41"/>
  <c r="E176" i="6"/>
  <c r="G176" i="6" s="1"/>
  <c r="G7" i="6"/>
  <c r="I7" i="6" s="1"/>
  <c r="K7" i="6" s="1"/>
  <c r="G92" i="6"/>
  <c r="G127" i="6"/>
  <c r="I127" i="6" s="1"/>
  <c r="G149" i="6"/>
  <c r="I149" i="6" s="1"/>
  <c r="G168" i="6"/>
  <c r="I168" i="6" s="1"/>
  <c r="G21" i="1"/>
  <c r="G57" i="5"/>
  <c r="I57" i="5" s="1"/>
  <c r="K57" i="5" s="1"/>
  <c r="G39" i="6"/>
  <c r="I39" i="6" s="1"/>
  <c r="G86" i="6"/>
  <c r="G88" i="6"/>
  <c r="G95" i="6"/>
  <c r="I95" i="6" s="1"/>
  <c r="K95" i="6" s="1"/>
  <c r="G96" i="6"/>
  <c r="I96" i="6" s="1"/>
  <c r="G110" i="6"/>
  <c r="I110" i="6" s="1"/>
  <c r="K110" i="6" s="1"/>
  <c r="G124" i="6"/>
  <c r="I124" i="6" s="1"/>
  <c r="G129" i="6"/>
  <c r="I129" i="6" s="1"/>
  <c r="G143" i="6"/>
  <c r="I143" i="6" s="1"/>
  <c r="G147" i="6"/>
  <c r="G148" i="6"/>
  <c r="G162" i="6"/>
  <c r="G167" i="6"/>
  <c r="I167" i="6" s="1"/>
  <c r="O80" i="1"/>
  <c r="G80" i="1"/>
  <c r="I80" i="1" s="1"/>
  <c r="K80" i="1" s="1"/>
  <c r="G102" i="1"/>
  <c r="G109" i="1"/>
  <c r="G115" i="1"/>
  <c r="G122" i="1"/>
  <c r="G128" i="1"/>
  <c r="G134" i="1"/>
  <c r="G147" i="1"/>
  <c r="G25" i="32"/>
  <c r="E73" i="32"/>
  <c r="G68" i="32"/>
  <c r="E23" i="11"/>
  <c r="E42" i="11" s="1"/>
  <c r="G22" i="11"/>
  <c r="I22" i="11" s="1"/>
  <c r="K22" i="11" s="1"/>
  <c r="O27" i="5"/>
  <c r="G27" i="5"/>
  <c r="I27" i="5" s="1"/>
  <c r="K27" i="5" s="1"/>
  <c r="L23" i="5"/>
  <c r="O23" i="5" s="1"/>
  <c r="G23" i="5"/>
  <c r="I23" i="5" s="1"/>
  <c r="K23" i="5" s="1"/>
  <c r="G99" i="5"/>
  <c r="I99" i="5" s="1"/>
  <c r="E134" i="5"/>
  <c r="G135" i="5"/>
  <c r="G84" i="6"/>
  <c r="G89" i="6"/>
  <c r="G103" i="6"/>
  <c r="I103" i="6" s="1"/>
  <c r="K103" i="6" s="1"/>
  <c r="G112" i="6"/>
  <c r="I112" i="6" s="1"/>
  <c r="K112" i="6" s="1"/>
  <c r="G121" i="6"/>
  <c r="I121" i="6" s="1"/>
  <c r="K121" i="6" s="1"/>
  <c r="G150" i="6"/>
  <c r="I150" i="6" s="1"/>
  <c r="G164" i="6"/>
  <c r="I164" i="6" s="1"/>
  <c r="G166" i="6"/>
  <c r="I166" i="6" s="1"/>
  <c r="G53" i="32"/>
  <c r="L11" i="5"/>
  <c r="O11" i="5" s="1"/>
  <c r="G11" i="5"/>
  <c r="I11" i="5" s="1"/>
  <c r="K11" i="5" s="1"/>
  <c r="L7" i="5"/>
  <c r="O7" i="5" s="1"/>
  <c r="G7" i="5"/>
  <c r="I7" i="5" s="1"/>
  <c r="K7" i="5" s="1"/>
  <c r="O30" i="5"/>
  <c r="G30" i="5"/>
  <c r="I30" i="5" s="1"/>
  <c r="K30" i="5" s="1"/>
  <c r="L26" i="5"/>
  <c r="O26" i="5" s="1"/>
  <c r="G26" i="5"/>
  <c r="I26" i="5" s="1"/>
  <c r="K26" i="5" s="1"/>
  <c r="L41" i="5"/>
  <c r="O41" i="5" s="1"/>
  <c r="G41" i="5"/>
  <c r="I41" i="5" s="1"/>
  <c r="K41" i="5" s="1"/>
  <c r="O58" i="5"/>
  <c r="G58" i="5"/>
  <c r="I58" i="5" s="1"/>
  <c r="K58" i="5" s="1"/>
  <c r="G118" i="5"/>
  <c r="I118" i="5" s="1"/>
  <c r="E181" i="6"/>
  <c r="G12" i="6"/>
  <c r="I12" i="6" s="1"/>
  <c r="K12" i="6" s="1"/>
  <c r="G35" i="6"/>
  <c r="I35" i="6" s="1"/>
  <c r="G82" i="6"/>
  <c r="G83" i="6"/>
  <c r="G97" i="6"/>
  <c r="I97" i="6" s="1"/>
  <c r="K97" i="6" s="1"/>
  <c r="G102" i="6"/>
  <c r="I102" i="6" s="1"/>
  <c r="G111" i="6"/>
  <c r="I111" i="6" s="1"/>
  <c r="K111" i="6" s="1"/>
  <c r="G125" i="6"/>
  <c r="I125" i="6" s="1"/>
  <c r="K125" i="6" s="1"/>
  <c r="G139" i="6"/>
  <c r="I139" i="6" s="1"/>
  <c r="G154" i="6"/>
  <c r="I154" i="6" s="1"/>
  <c r="G163" i="6"/>
  <c r="I163" i="6" s="1"/>
  <c r="G15" i="1"/>
  <c r="G27" i="1"/>
  <c r="G33" i="1"/>
  <c r="G86" i="32"/>
  <c r="G17" i="32"/>
  <c r="G65" i="32"/>
  <c r="L10" i="5"/>
  <c r="O10" i="5" s="1"/>
  <c r="G10" i="5"/>
  <c r="I10" i="5" s="1"/>
  <c r="K10" i="5" s="1"/>
  <c r="G14" i="5"/>
  <c r="G29" i="5"/>
  <c r="O25" i="5"/>
  <c r="G25" i="5"/>
  <c r="I25" i="5" s="1"/>
  <c r="K25" i="5" s="1"/>
  <c r="O54" i="5"/>
  <c r="G54" i="5"/>
  <c r="I54" i="5" s="1"/>
  <c r="K54" i="5" s="1"/>
  <c r="G138" i="5"/>
  <c r="I138" i="5" s="1"/>
  <c r="G157" i="5"/>
  <c r="I157" i="5" s="1"/>
  <c r="K157" i="5" s="1"/>
  <c r="E175" i="6"/>
  <c r="G6" i="6"/>
  <c r="E180" i="6"/>
  <c r="G180" i="6" s="1"/>
  <c r="G11" i="6"/>
  <c r="G48" i="6"/>
  <c r="I48" i="6" s="1"/>
  <c r="L6" i="5"/>
  <c r="G6" i="5"/>
  <c r="I6" i="5" s="1"/>
  <c r="K6" i="5" s="1"/>
  <c r="L9" i="5"/>
  <c r="O9" i="5" s="1"/>
  <c r="G9" i="5"/>
  <c r="I9" i="5" s="1"/>
  <c r="K9" i="5" s="1"/>
  <c r="G15" i="5"/>
  <c r="O28" i="5"/>
  <c r="G28" i="5"/>
  <c r="I28" i="5" s="1"/>
  <c r="K28" i="5" s="1"/>
  <c r="O24" i="5"/>
  <c r="G24" i="5"/>
  <c r="I24" i="5" s="1"/>
  <c r="K24" i="5" s="1"/>
  <c r="L35" i="5"/>
  <c r="O35" i="5" s="1"/>
  <c r="G35" i="5"/>
  <c r="I35" i="5" s="1"/>
  <c r="K35" i="5" s="1"/>
  <c r="G60" i="5"/>
  <c r="I60" i="5" s="1"/>
  <c r="K60" i="5" s="1"/>
  <c r="O56" i="5"/>
  <c r="G56" i="5"/>
  <c r="I56" i="5" s="1"/>
  <c r="K56" i="5" s="1"/>
  <c r="G92" i="5"/>
  <c r="I92" i="5" s="1"/>
  <c r="E173" i="6"/>
  <c r="G4" i="6"/>
  <c r="G5" i="6"/>
  <c r="E174" i="6"/>
  <c r="E183" i="6"/>
  <c r="G14" i="6"/>
  <c r="I14" i="6" s="1"/>
  <c r="K14" i="6" s="1"/>
  <c r="G52" i="6"/>
  <c r="I52" i="6" s="1"/>
  <c r="G61" i="6"/>
  <c r="I61" i="6" s="1"/>
  <c r="G85" i="6"/>
  <c r="G90" i="6"/>
  <c r="G101" i="6"/>
  <c r="I101" i="6" s="1"/>
  <c r="K101" i="6" s="1"/>
  <c r="G108" i="6"/>
  <c r="G109" i="6"/>
  <c r="G123" i="6"/>
  <c r="G128" i="6"/>
  <c r="I128" i="6" s="1"/>
  <c r="G151" i="6"/>
  <c r="I151" i="6" s="1"/>
  <c r="I153" i="6"/>
  <c r="K153" i="6" s="1"/>
  <c r="G160" i="6"/>
  <c r="G161" i="6"/>
  <c r="G57" i="1"/>
  <c r="G63" i="1"/>
  <c r="G70" i="1"/>
  <c r="G76" i="1"/>
  <c r="O79" i="1"/>
  <c r="G79" i="1"/>
  <c r="I79" i="1" s="1"/>
  <c r="G89" i="1"/>
  <c r="G33" i="32"/>
  <c r="G80" i="32"/>
  <c r="G82" i="11"/>
  <c r="G4" i="30"/>
  <c r="I4" i="30" s="1"/>
  <c r="K4" i="30" s="1"/>
  <c r="M4" i="30" s="1"/>
  <c r="N4" i="30" s="1"/>
  <c r="Q4" i="30" s="1"/>
  <c r="G3" i="30"/>
  <c r="I3" i="30" s="1"/>
  <c r="K3" i="30" s="1"/>
  <c r="M3" i="30" s="1"/>
  <c r="E12" i="30"/>
  <c r="G13" i="30"/>
  <c r="G23" i="30"/>
  <c r="I23" i="30" s="1"/>
  <c r="K23" i="30" s="1"/>
  <c r="M23" i="30" s="1"/>
  <c r="O23" i="30" s="1"/>
  <c r="Q23" i="30" s="1"/>
  <c r="G27" i="30"/>
  <c r="I27" i="30" s="1"/>
  <c r="E17" i="30"/>
  <c r="G18" i="30"/>
  <c r="N22" i="30"/>
  <c r="Q22" i="30" s="1"/>
  <c r="O6" i="2"/>
  <c r="D191" i="1"/>
  <c r="O11" i="2" s="1"/>
  <c r="I23" i="17" s="1"/>
  <c r="D54" i="11"/>
  <c r="D85" i="11"/>
  <c r="D50" i="32"/>
  <c r="D89" i="32"/>
  <c r="O8" i="2"/>
  <c r="I21" i="17" s="1"/>
  <c r="O22" i="5"/>
  <c r="L40" i="5"/>
  <c r="E78" i="5"/>
  <c r="D119" i="6"/>
  <c r="D171" i="6"/>
  <c r="E78" i="6"/>
  <c r="E130" i="6"/>
  <c r="O5" i="2"/>
  <c r="E17" i="32"/>
  <c r="E57" i="32"/>
  <c r="N27" i="30"/>
  <c r="Q27" i="30" s="1"/>
  <c r="E25" i="30"/>
  <c r="E25" i="32"/>
  <c r="L81" i="11"/>
  <c r="L34" i="5"/>
  <c r="D10" i="30"/>
  <c r="D29" i="30" s="1"/>
  <c r="D87" i="32"/>
  <c r="D153" i="5"/>
  <c r="D149" i="5" s="1"/>
  <c r="D145" i="5" s="1"/>
  <c r="D144" i="5" s="1"/>
  <c r="D15" i="2"/>
  <c r="O7" i="2"/>
  <c r="D190" i="1"/>
  <c r="D178" i="6"/>
  <c r="E10" i="32"/>
  <c r="O5" i="32"/>
  <c r="O26" i="30"/>
  <c r="L18" i="41" s="1"/>
  <c r="D158" i="6"/>
  <c r="E104" i="6"/>
  <c r="E156" i="6"/>
  <c r="F18" i="16"/>
  <c r="D145" i="6"/>
  <c r="J8" i="16"/>
  <c r="D41" i="6"/>
  <c r="D28" i="6"/>
  <c r="D132" i="6"/>
  <c r="D106" i="6"/>
  <c r="D67" i="6"/>
  <c r="E52" i="6"/>
  <c r="D182" i="6"/>
  <c r="E35" i="6"/>
  <c r="E87" i="6"/>
  <c r="D80" i="6"/>
  <c r="E15" i="42"/>
  <c r="C17" i="41"/>
  <c r="D15" i="6"/>
  <c r="E13" i="6"/>
  <c r="E91" i="6"/>
  <c r="E100" i="6"/>
  <c r="E143" i="6"/>
  <c r="M7" i="42"/>
  <c r="P9" i="41"/>
  <c r="E86" i="32"/>
  <c r="E33" i="32"/>
  <c r="H18" i="16"/>
  <c r="D18" i="16"/>
  <c r="D22" i="16" s="1"/>
  <c r="E9" i="6"/>
  <c r="E61" i="6"/>
  <c r="E165" i="6"/>
  <c r="M5" i="42"/>
  <c r="P7" i="41"/>
  <c r="M8" i="42"/>
  <c r="P10" i="41"/>
  <c r="E21" i="1"/>
  <c r="E33" i="1"/>
  <c r="E45" i="1"/>
  <c r="E13" i="5"/>
  <c r="E22" i="6"/>
  <c r="E74" i="6"/>
  <c r="E117" i="6"/>
  <c r="E126" i="6"/>
  <c r="E169" i="6"/>
  <c r="M6" i="42"/>
  <c r="P8" i="41"/>
  <c r="E65" i="32"/>
  <c r="I22" i="16"/>
  <c r="E18" i="16"/>
  <c r="E22" i="16" s="1"/>
  <c r="G18" i="16"/>
  <c r="G22" i="16" s="1"/>
  <c r="J13" i="16"/>
  <c r="K12" i="35"/>
  <c r="E84" i="11"/>
  <c r="E192" i="1"/>
  <c r="E80" i="32"/>
  <c r="E82" i="32"/>
  <c r="E83" i="32"/>
  <c r="E147" i="1"/>
  <c r="E134" i="1"/>
  <c r="E128" i="1"/>
  <c r="E122" i="1"/>
  <c r="E115" i="1"/>
  <c r="E109" i="1"/>
  <c r="E102" i="1"/>
  <c r="E89" i="1"/>
  <c r="E83" i="1"/>
  <c r="E76" i="1"/>
  <c r="E70" i="1"/>
  <c r="E63" i="1"/>
  <c r="E57" i="1"/>
  <c r="E51" i="1"/>
  <c r="E27" i="1"/>
  <c r="E15" i="1"/>
  <c r="E9" i="1"/>
  <c r="E152" i="6"/>
  <c r="E139" i="6"/>
  <c r="E113" i="6"/>
  <c r="E65" i="6"/>
  <c r="E48" i="6"/>
  <c r="E39" i="6"/>
  <c r="E26" i="6"/>
  <c r="E6" i="30"/>
  <c r="E5" i="30" s="1"/>
  <c r="G53" i="11" l="1"/>
  <c r="G88" i="32" s="1"/>
  <c r="K53" i="11"/>
  <c r="K88" i="32" s="1"/>
  <c r="M145" i="6"/>
  <c r="K7" i="1"/>
  <c r="S75" i="6"/>
  <c r="S33" i="6"/>
  <c r="K144" i="5"/>
  <c r="L22" i="16"/>
  <c r="M6" i="30"/>
  <c r="N6" i="30" s="1"/>
  <c r="I83" i="1"/>
  <c r="K79" i="1"/>
  <c r="K83" i="1" s="1"/>
  <c r="M153" i="6"/>
  <c r="N153" i="6" s="1"/>
  <c r="S153" i="6" s="1"/>
  <c r="K128" i="6"/>
  <c r="M101" i="6"/>
  <c r="N101" i="6" s="1"/>
  <c r="S101" i="6" s="1"/>
  <c r="M14" i="6"/>
  <c r="N14" i="6"/>
  <c r="S14" i="6" s="1"/>
  <c r="K92" i="5"/>
  <c r="K91" i="5" s="1"/>
  <c r="K83" i="5" s="1"/>
  <c r="I91" i="5"/>
  <c r="I83" i="5" s="1"/>
  <c r="K16" i="2"/>
  <c r="W16" i="2" s="1"/>
  <c r="J18" i="41"/>
  <c r="K18" i="41" s="1"/>
  <c r="K163" i="6"/>
  <c r="K102" i="6"/>
  <c r="K104" i="6" s="1"/>
  <c r="K164" i="6"/>
  <c r="M121" i="6"/>
  <c r="N121" i="6" s="1"/>
  <c r="M103" i="6"/>
  <c r="N103" i="6" s="1"/>
  <c r="S103" i="6" s="1"/>
  <c r="K167" i="6"/>
  <c r="K124" i="6"/>
  <c r="K96" i="6"/>
  <c r="K168" i="6"/>
  <c r="K127" i="6"/>
  <c r="M7" i="6"/>
  <c r="N7" i="6"/>
  <c r="S7" i="6" s="1"/>
  <c r="K10" i="6"/>
  <c r="S18" i="6"/>
  <c r="M18" i="6"/>
  <c r="M22" i="6" s="1"/>
  <c r="K44" i="6"/>
  <c r="K57" i="6"/>
  <c r="K24" i="6"/>
  <c r="K26" i="6" s="1"/>
  <c r="K43" i="6"/>
  <c r="K9" i="1"/>
  <c r="K31" i="6"/>
  <c r="M73" i="6"/>
  <c r="N73" i="6"/>
  <c r="S73" i="6" s="1"/>
  <c r="M66" i="6"/>
  <c r="N66" i="6"/>
  <c r="S66" i="6" s="1"/>
  <c r="M64" i="6"/>
  <c r="N64" i="6"/>
  <c r="S64" i="6" s="1"/>
  <c r="M59" i="6"/>
  <c r="N59" i="6"/>
  <c r="M50" i="6"/>
  <c r="N50" i="6"/>
  <c r="S50" i="6" s="1"/>
  <c r="M49" i="6"/>
  <c r="N49" i="6"/>
  <c r="K52" i="6"/>
  <c r="M45" i="6"/>
  <c r="N45" i="6"/>
  <c r="M38" i="6"/>
  <c r="N38" i="6"/>
  <c r="S38" i="6" s="1"/>
  <c r="M23" i="6"/>
  <c r="S23" i="6"/>
  <c r="M19" i="6"/>
  <c r="N19" i="6"/>
  <c r="M21" i="6"/>
  <c r="N21" i="6"/>
  <c r="S21" i="6" s="1"/>
  <c r="M157" i="6"/>
  <c r="N157" i="6"/>
  <c r="S157" i="6" s="1"/>
  <c r="M131" i="6"/>
  <c r="N131" i="6" s="1"/>
  <c r="S131" i="6" s="1"/>
  <c r="M115" i="6"/>
  <c r="N115" i="6" s="1"/>
  <c r="M63" i="6"/>
  <c r="N63" i="6"/>
  <c r="M62" i="6"/>
  <c r="S62" i="6"/>
  <c r="K65" i="6"/>
  <c r="M58" i="6"/>
  <c r="S58" i="6"/>
  <c r="M60" i="6"/>
  <c r="N60" i="6"/>
  <c r="S60" i="6" s="1"/>
  <c r="M53" i="6"/>
  <c r="N53" i="6"/>
  <c r="M51" i="6"/>
  <c r="N51" i="6"/>
  <c r="S51" i="6" s="1"/>
  <c r="M46" i="6"/>
  <c r="N46" i="6"/>
  <c r="S46" i="6" s="1"/>
  <c r="M37" i="6"/>
  <c r="N37" i="6"/>
  <c r="M36" i="6"/>
  <c r="S36" i="6"/>
  <c r="K39" i="6"/>
  <c r="M32" i="6"/>
  <c r="S32" i="6"/>
  <c r="M34" i="6"/>
  <c r="N34" i="6"/>
  <c r="S34" i="6" s="1"/>
  <c r="M27" i="6"/>
  <c r="N27" i="6"/>
  <c r="S27" i="6" s="1"/>
  <c r="M25" i="6"/>
  <c r="N25" i="6"/>
  <c r="S25" i="6" s="1"/>
  <c r="M20" i="6"/>
  <c r="N20" i="6"/>
  <c r="S20" i="6" s="1"/>
  <c r="K22" i="6"/>
  <c r="I25" i="30"/>
  <c r="K27" i="30"/>
  <c r="N3" i="30"/>
  <c r="Q3" i="30" s="1"/>
  <c r="G84" i="11"/>
  <c r="I82" i="11"/>
  <c r="K151" i="6"/>
  <c r="I137" i="5"/>
  <c r="J138" i="5"/>
  <c r="J137" i="5" s="1"/>
  <c r="J128" i="5" s="1"/>
  <c r="K154" i="6"/>
  <c r="M125" i="6"/>
  <c r="N125" i="6" s="1"/>
  <c r="S125" i="6" s="1"/>
  <c r="M111" i="6"/>
  <c r="N111" i="6" s="1"/>
  <c r="S111" i="6" s="1"/>
  <c r="M97" i="6"/>
  <c r="M12" i="6"/>
  <c r="N12" i="6"/>
  <c r="S12" i="6" s="1"/>
  <c r="I117" i="5"/>
  <c r="K118" i="5"/>
  <c r="K117" i="5" s="1"/>
  <c r="K166" i="6"/>
  <c r="K150" i="6"/>
  <c r="M112" i="6"/>
  <c r="N112" i="6" s="1"/>
  <c r="I98" i="5"/>
  <c r="K99" i="5"/>
  <c r="K98" i="5" s="1"/>
  <c r="K129" i="6"/>
  <c r="M110" i="6"/>
  <c r="N110" i="6" s="1"/>
  <c r="M95" i="6"/>
  <c r="K149" i="6"/>
  <c r="J23" i="41"/>
  <c r="K21" i="2"/>
  <c r="W21" i="2" s="1"/>
  <c r="K155" i="6"/>
  <c r="M13" i="13"/>
  <c r="O5" i="13"/>
  <c r="K186" i="1"/>
  <c r="K70" i="6"/>
  <c r="K56" i="6"/>
  <c r="S30" i="6"/>
  <c r="M30" i="6"/>
  <c r="K35" i="6"/>
  <c r="K33" i="5"/>
  <c r="M170" i="6"/>
  <c r="N170" i="6" s="1"/>
  <c r="S170" i="6" s="1"/>
  <c r="M76" i="6"/>
  <c r="S76" i="6"/>
  <c r="K78" i="6"/>
  <c r="I53" i="11"/>
  <c r="I88" i="32" s="1"/>
  <c r="M79" i="6"/>
  <c r="N79" i="6"/>
  <c r="M77" i="6"/>
  <c r="N77" i="6"/>
  <c r="S77" i="6" s="1"/>
  <c r="M72" i="6"/>
  <c r="N72" i="6"/>
  <c r="K5" i="5"/>
  <c r="O6" i="5"/>
  <c r="L5" i="5"/>
  <c r="K39" i="5"/>
  <c r="G73" i="32"/>
  <c r="I68" i="32"/>
  <c r="K68" i="32" s="1"/>
  <c r="K82" i="32" s="1"/>
  <c r="G10" i="32"/>
  <c r="I6" i="32"/>
  <c r="K6" i="32" s="1"/>
  <c r="G57" i="32"/>
  <c r="I53" i="32"/>
  <c r="K53" i="32" s="1"/>
  <c r="K57" i="32" s="1"/>
  <c r="I33" i="5"/>
  <c r="O15" i="5"/>
  <c r="I15" i="5"/>
  <c r="K15" i="5" s="1"/>
  <c r="I39" i="5"/>
  <c r="O14" i="5"/>
  <c r="I14" i="5"/>
  <c r="G134" i="5"/>
  <c r="I135" i="5"/>
  <c r="H23" i="41"/>
  <c r="I21" i="2"/>
  <c r="G105" i="5"/>
  <c r="I106" i="5"/>
  <c r="G70" i="5"/>
  <c r="I71" i="5"/>
  <c r="H18" i="41"/>
  <c r="I16" i="2"/>
  <c r="I144" i="5"/>
  <c r="I70" i="1"/>
  <c r="I185" i="1"/>
  <c r="I9" i="1"/>
  <c r="I186" i="1"/>
  <c r="I5" i="5"/>
  <c r="O29" i="5"/>
  <c r="I29" i="5"/>
  <c r="K29" i="5" s="1"/>
  <c r="G33" i="5"/>
  <c r="G185" i="1"/>
  <c r="L39" i="5"/>
  <c r="G9" i="1"/>
  <c r="I161" i="6"/>
  <c r="I85" i="6"/>
  <c r="M81" i="11"/>
  <c r="O81" i="11" s="1"/>
  <c r="G17" i="30"/>
  <c r="I17" i="30"/>
  <c r="I18" i="30"/>
  <c r="K18" i="30" s="1"/>
  <c r="G12" i="30"/>
  <c r="I13" i="30"/>
  <c r="G89" i="32"/>
  <c r="I160" i="6"/>
  <c r="I109" i="6"/>
  <c r="K109" i="6" s="1"/>
  <c r="I5" i="6"/>
  <c r="K5" i="6" s="1"/>
  <c r="G82" i="32"/>
  <c r="G39" i="5"/>
  <c r="I108" i="6"/>
  <c r="K108" i="6" s="1"/>
  <c r="I183" i="6"/>
  <c r="K183" i="6" s="1"/>
  <c r="M183" i="6" s="1"/>
  <c r="I4" i="6"/>
  <c r="S112" i="6"/>
  <c r="G186" i="1"/>
  <c r="I162" i="6"/>
  <c r="K162" i="6" s="1"/>
  <c r="I122" i="6"/>
  <c r="I89" i="6"/>
  <c r="K89" i="6" s="1"/>
  <c r="M89" i="6" s="1"/>
  <c r="I123" i="6"/>
  <c r="G58" i="11"/>
  <c r="G71" i="11" s="1"/>
  <c r="I11" i="6"/>
  <c r="I147" i="6"/>
  <c r="N8" i="6"/>
  <c r="S8" i="6" s="1"/>
  <c r="I6" i="6"/>
  <c r="K6" i="6" s="1"/>
  <c r="I90" i="6"/>
  <c r="I148" i="6"/>
  <c r="K148" i="6" s="1"/>
  <c r="S110" i="6"/>
  <c r="G117" i="6"/>
  <c r="I117" i="6" s="1"/>
  <c r="I114" i="6"/>
  <c r="K114" i="6" s="1"/>
  <c r="I86" i="6"/>
  <c r="L53" i="5"/>
  <c r="O48" i="5" s="1"/>
  <c r="G80" i="6"/>
  <c r="I80" i="6" s="1"/>
  <c r="G67" i="6"/>
  <c r="I67" i="6" s="1"/>
  <c r="L33" i="5"/>
  <c r="G41" i="6"/>
  <c r="I41" i="6" s="1"/>
  <c r="K41" i="6" s="1"/>
  <c r="M41" i="6" s="1"/>
  <c r="G145" i="6"/>
  <c r="I145" i="6" s="1"/>
  <c r="G28" i="6"/>
  <c r="I28" i="6" s="1"/>
  <c r="E10" i="30"/>
  <c r="G83" i="1"/>
  <c r="L78" i="5"/>
  <c r="L69" i="5" s="1"/>
  <c r="D13" i="2"/>
  <c r="I11" i="17" s="1"/>
  <c r="D140" i="5"/>
  <c r="D139" i="5" s="1"/>
  <c r="D137" i="5" s="1"/>
  <c r="D129" i="5" s="1"/>
  <c r="G78" i="5"/>
  <c r="O57" i="5"/>
  <c r="O34" i="5"/>
  <c r="G126" i="6"/>
  <c r="I126" i="6" s="1"/>
  <c r="G100" i="6"/>
  <c r="I100" i="6" s="1"/>
  <c r="G9" i="6"/>
  <c r="I9" i="6" s="1"/>
  <c r="G175" i="6"/>
  <c r="G165" i="6"/>
  <c r="I165" i="6" s="1"/>
  <c r="G113" i="6"/>
  <c r="I113" i="6" s="1"/>
  <c r="G174" i="6"/>
  <c r="G173" i="6"/>
  <c r="G152" i="6"/>
  <c r="I152" i="6" s="1"/>
  <c r="G183" i="6"/>
  <c r="G130" i="6"/>
  <c r="I130" i="6" s="1"/>
  <c r="G21" i="2"/>
  <c r="F23" i="41"/>
  <c r="M11" i="42"/>
  <c r="G169" i="6"/>
  <c r="I169" i="6" s="1"/>
  <c r="G91" i="6"/>
  <c r="G83" i="32"/>
  <c r="E178" i="6"/>
  <c r="E80" i="6"/>
  <c r="E182" i="6"/>
  <c r="G156" i="6"/>
  <c r="I156" i="6" s="1"/>
  <c r="G104" i="6"/>
  <c r="I104" i="6" s="1"/>
  <c r="G54" i="6"/>
  <c r="I54" i="6" s="1"/>
  <c r="G13" i="5"/>
  <c r="G87" i="6"/>
  <c r="G181" i="6"/>
  <c r="G13" i="6"/>
  <c r="I13" i="6" s="1"/>
  <c r="G5" i="30"/>
  <c r="I5" i="30" s="1"/>
  <c r="K5" i="30" s="1"/>
  <c r="G25" i="30"/>
  <c r="O4" i="2"/>
  <c r="P14" i="41"/>
  <c r="D91" i="32"/>
  <c r="D93" i="32" s="1"/>
  <c r="D96" i="32" s="1"/>
  <c r="P13" i="41"/>
  <c r="E89" i="32"/>
  <c r="E85" i="11"/>
  <c r="M12" i="42"/>
  <c r="O12" i="2"/>
  <c r="E158" i="6"/>
  <c r="E132" i="6"/>
  <c r="O40" i="5"/>
  <c r="Q26" i="30"/>
  <c r="E24" i="30"/>
  <c r="E106" i="6"/>
  <c r="E93" i="6"/>
  <c r="E119" i="6"/>
  <c r="E171" i="6"/>
  <c r="E67" i="6"/>
  <c r="E54" i="6"/>
  <c r="D184" i="6"/>
  <c r="E41" i="6"/>
  <c r="E15" i="6"/>
  <c r="E13" i="42"/>
  <c r="C15" i="41"/>
  <c r="E145" i="6"/>
  <c r="E28" i="6"/>
  <c r="G85" i="11" l="1"/>
  <c r="M65" i="6"/>
  <c r="I14" i="41"/>
  <c r="I12" i="41" s="1"/>
  <c r="I16" i="41" s="1"/>
  <c r="J12" i="2"/>
  <c r="J10" i="2" s="1"/>
  <c r="J14" i="2" s="1"/>
  <c r="J18" i="2" s="1"/>
  <c r="J22" i="2" s="1"/>
  <c r="J26" i="2" s="1"/>
  <c r="S121" i="6"/>
  <c r="S72" i="6"/>
  <c r="N74" i="6"/>
  <c r="S79" i="6"/>
  <c r="S37" i="6"/>
  <c r="N39" i="6"/>
  <c r="S53" i="6"/>
  <c r="S19" i="6"/>
  <c r="N22" i="6"/>
  <c r="S45" i="6"/>
  <c r="N48" i="6"/>
  <c r="M78" i="6"/>
  <c r="S63" i="6"/>
  <c r="N65" i="6"/>
  <c r="S115" i="6"/>
  <c r="S49" i="6"/>
  <c r="N52" i="6"/>
  <c r="S59" i="6"/>
  <c r="N61" i="6"/>
  <c r="N35" i="6"/>
  <c r="N41" i="6" s="1"/>
  <c r="N78" i="6"/>
  <c r="N92" i="6"/>
  <c r="S92" i="6" s="1"/>
  <c r="G69" i="5"/>
  <c r="K138" i="5"/>
  <c r="K137" i="5" s="1"/>
  <c r="M5" i="30"/>
  <c r="M148" i="6"/>
  <c r="N148" i="6" s="1"/>
  <c r="S148" i="6" s="1"/>
  <c r="M6" i="6"/>
  <c r="S11" i="6"/>
  <c r="K11" i="6"/>
  <c r="K123" i="6"/>
  <c r="K122" i="6"/>
  <c r="K4" i="6"/>
  <c r="M5" i="6"/>
  <c r="K160" i="6"/>
  <c r="K161" i="6"/>
  <c r="I70" i="5"/>
  <c r="I69" i="5" s="1"/>
  <c r="K71" i="5"/>
  <c r="K70" i="5" s="1"/>
  <c r="K69" i="5" s="1"/>
  <c r="I105" i="5"/>
  <c r="K106" i="5"/>
  <c r="K105" i="5" s="1"/>
  <c r="I134" i="5"/>
  <c r="I128" i="5" s="1"/>
  <c r="K135" i="5"/>
  <c r="K134" i="5" s="1"/>
  <c r="I13" i="5"/>
  <c r="K14" i="5"/>
  <c r="K13" i="5" s="1"/>
  <c r="K83" i="32"/>
  <c r="K10" i="32"/>
  <c r="K73" i="32"/>
  <c r="S70" i="6"/>
  <c r="M70" i="6"/>
  <c r="M74" i="6" s="1"/>
  <c r="M80" i="6" s="1"/>
  <c r="K74" i="6"/>
  <c r="M149" i="6"/>
  <c r="N149" i="6" s="1"/>
  <c r="S149" i="6" s="1"/>
  <c r="M129" i="6"/>
  <c r="N129" i="6" s="1"/>
  <c r="S129" i="6" s="1"/>
  <c r="M150" i="6"/>
  <c r="N150" i="6" s="1"/>
  <c r="S150" i="6" s="1"/>
  <c r="M166" i="6"/>
  <c r="N166" i="6" s="1"/>
  <c r="S166" i="6" s="1"/>
  <c r="K169" i="6"/>
  <c r="M154" i="6"/>
  <c r="N154" i="6" s="1"/>
  <c r="S154" i="6" s="1"/>
  <c r="J159" i="5"/>
  <c r="M39" i="6"/>
  <c r="M52" i="6"/>
  <c r="K185" i="1"/>
  <c r="M164" i="6"/>
  <c r="N164" i="6" s="1"/>
  <c r="M102" i="6"/>
  <c r="N102" i="6" s="1"/>
  <c r="S102" i="6" s="1"/>
  <c r="M163" i="6"/>
  <c r="N163" i="6" s="1"/>
  <c r="S163" i="6" s="1"/>
  <c r="M128" i="6"/>
  <c r="N128" i="6" s="1"/>
  <c r="K156" i="6"/>
  <c r="M114" i="6"/>
  <c r="K117" i="6"/>
  <c r="K147" i="6"/>
  <c r="M162" i="6"/>
  <c r="N162" i="6" s="1"/>
  <c r="S162" i="6" s="1"/>
  <c r="M108" i="6"/>
  <c r="N108" i="6" s="1"/>
  <c r="K113" i="6"/>
  <c r="M109" i="6"/>
  <c r="N109" i="6" s="1"/>
  <c r="I12" i="30"/>
  <c r="I10" i="30" s="1"/>
  <c r="K13" i="30"/>
  <c r="K17" i="30"/>
  <c r="M18" i="30"/>
  <c r="M56" i="6"/>
  <c r="K61" i="6"/>
  <c r="S56" i="6"/>
  <c r="Q5" i="13"/>
  <c r="Q13" i="13" s="1"/>
  <c r="O13" i="13"/>
  <c r="M155" i="6"/>
  <c r="N155" i="6" s="1"/>
  <c r="S155" i="6"/>
  <c r="M151" i="6"/>
  <c r="N151" i="6" s="1"/>
  <c r="S151" i="6" s="1"/>
  <c r="K82" i="11"/>
  <c r="I84" i="11"/>
  <c r="I89" i="32" s="1"/>
  <c r="M27" i="30"/>
  <c r="M25" i="30" s="1"/>
  <c r="M24" i="30" s="1"/>
  <c r="K25" i="30"/>
  <c r="K28" i="6"/>
  <c r="S31" i="6"/>
  <c r="M31" i="6"/>
  <c r="M35" i="6" s="1"/>
  <c r="S43" i="6"/>
  <c r="M43" i="6"/>
  <c r="K48" i="6"/>
  <c r="M24" i="6"/>
  <c r="K59" i="11" s="1"/>
  <c r="N24" i="6"/>
  <c r="S24" i="6" s="1"/>
  <c r="I59" i="11"/>
  <c r="S57" i="6"/>
  <c r="M57" i="6"/>
  <c r="M44" i="6"/>
  <c r="S44" i="6"/>
  <c r="M10" i="6"/>
  <c r="S10" i="6"/>
  <c r="K13" i="6"/>
  <c r="N13" i="6" s="1"/>
  <c r="M127" i="6"/>
  <c r="K130" i="6"/>
  <c r="M168" i="6"/>
  <c r="N168" i="6" s="1"/>
  <c r="S168" i="6" s="1"/>
  <c r="K100" i="6"/>
  <c r="M96" i="6"/>
  <c r="M100" i="6" s="1"/>
  <c r="N100" i="6" s="1"/>
  <c r="M124" i="6"/>
  <c r="N124" i="6" s="1"/>
  <c r="M167" i="6"/>
  <c r="N167" i="6" s="1"/>
  <c r="S167" i="6" s="1"/>
  <c r="I181" i="6"/>
  <c r="K181" i="6" s="1"/>
  <c r="M181" i="6" s="1"/>
  <c r="K90" i="6"/>
  <c r="M90" i="6" s="1"/>
  <c r="I177" i="6"/>
  <c r="K177" i="6" s="1"/>
  <c r="M177" i="6" s="1"/>
  <c r="K86" i="6"/>
  <c r="M86" i="6" s="1"/>
  <c r="I176" i="6"/>
  <c r="K176" i="6" s="1"/>
  <c r="M176" i="6" s="1"/>
  <c r="K85" i="6"/>
  <c r="M85" i="6" s="1"/>
  <c r="I10" i="32"/>
  <c r="I83" i="32"/>
  <c r="M53" i="32"/>
  <c r="I57" i="32"/>
  <c r="I73" i="32"/>
  <c r="I82" i="32"/>
  <c r="G10" i="30"/>
  <c r="I180" i="6"/>
  <c r="K180" i="6" s="1"/>
  <c r="M180" i="6" s="1"/>
  <c r="I82" i="6"/>
  <c r="S5" i="6"/>
  <c r="Q7" i="41"/>
  <c r="S7" i="41" s="1"/>
  <c r="U7" i="41" s="1"/>
  <c r="W7" i="41" s="1"/>
  <c r="P5" i="2"/>
  <c r="R5" i="2" s="1"/>
  <c r="T5" i="2" s="1"/>
  <c r="V5" i="2" s="1"/>
  <c r="W5" i="2" s="1"/>
  <c r="P6" i="2"/>
  <c r="R6" i="2" s="1"/>
  <c r="T6" i="2" s="1"/>
  <c r="V6" i="2" s="1"/>
  <c r="W6" i="2" s="1"/>
  <c r="Q8" i="41"/>
  <c r="S8" i="41" s="1"/>
  <c r="U8" i="41" s="1"/>
  <c r="W8" i="41" s="1"/>
  <c r="S6" i="6"/>
  <c r="I84" i="6"/>
  <c r="I91" i="6"/>
  <c r="I182" i="6" s="1"/>
  <c r="I87" i="6"/>
  <c r="I178" i="6" s="1"/>
  <c r="I83" i="6"/>
  <c r="I88" i="6"/>
  <c r="S109" i="6"/>
  <c r="P12" i="2"/>
  <c r="R12" i="2" s="1"/>
  <c r="T12" i="2" s="1"/>
  <c r="V12" i="2" s="1"/>
  <c r="Q14" i="41"/>
  <c r="S14" i="41" s="1"/>
  <c r="U14" i="41" s="1"/>
  <c r="W14" i="41" s="1"/>
  <c r="O60" i="5"/>
  <c r="G132" i="6"/>
  <c r="I132" i="6" s="1"/>
  <c r="D121" i="5"/>
  <c r="D119" i="5" s="1"/>
  <c r="D117" i="5" s="1"/>
  <c r="D105" i="5" s="1"/>
  <c r="D128" i="5"/>
  <c r="C13" i="41"/>
  <c r="E11" i="42"/>
  <c r="G98" i="5"/>
  <c r="D11" i="2"/>
  <c r="D16" i="5"/>
  <c r="G171" i="6"/>
  <c r="I171" i="6" s="1"/>
  <c r="G119" i="6"/>
  <c r="I119" i="6" s="1"/>
  <c r="G106" i="6"/>
  <c r="I106" i="6" s="1"/>
  <c r="G93" i="6"/>
  <c r="G15" i="6"/>
  <c r="I15" i="6" s="1"/>
  <c r="G182" i="6"/>
  <c r="G178" i="6"/>
  <c r="G158" i="6"/>
  <c r="I158" i="6" s="1"/>
  <c r="E29" i="30"/>
  <c r="G24" i="30"/>
  <c r="O10" i="2"/>
  <c r="O14" i="2" s="1"/>
  <c r="I24" i="17"/>
  <c r="D166" i="7"/>
  <c r="D165" i="7"/>
  <c r="D8" i="2" s="1"/>
  <c r="I8" i="17" s="1"/>
  <c r="D164" i="7"/>
  <c r="E89" i="7"/>
  <c r="E90" i="7"/>
  <c r="E91" i="7"/>
  <c r="E92" i="7"/>
  <c r="E93" i="7"/>
  <c r="E94" i="7"/>
  <c r="E97" i="7"/>
  <c r="G97" i="7" s="1"/>
  <c r="E88" i="7"/>
  <c r="E77" i="7"/>
  <c r="E78" i="7"/>
  <c r="E79" i="7"/>
  <c r="G79" i="7" s="1"/>
  <c r="E80" i="7"/>
  <c r="E81" i="7"/>
  <c r="E82" i="7"/>
  <c r="E85" i="7"/>
  <c r="G85" i="7" s="1"/>
  <c r="E76" i="7"/>
  <c r="E65" i="7"/>
  <c r="E66" i="7"/>
  <c r="E67" i="7"/>
  <c r="E68" i="7"/>
  <c r="E69" i="7"/>
  <c r="E70" i="7"/>
  <c r="E73" i="7"/>
  <c r="G73" i="7" s="1"/>
  <c r="I73" i="7" s="1"/>
  <c r="K73" i="7" s="1"/>
  <c r="M73" i="7" s="1"/>
  <c r="N73" i="7" s="1"/>
  <c r="E64" i="7"/>
  <c r="E53" i="7"/>
  <c r="E54" i="7"/>
  <c r="E55" i="7"/>
  <c r="E56" i="7"/>
  <c r="E57" i="7"/>
  <c r="E58" i="7"/>
  <c r="E61" i="7"/>
  <c r="G61" i="7" s="1"/>
  <c r="E52" i="7"/>
  <c r="E41" i="7"/>
  <c r="E42" i="7"/>
  <c r="E43" i="7"/>
  <c r="E44" i="7"/>
  <c r="E45" i="7"/>
  <c r="E46" i="7"/>
  <c r="E49" i="7"/>
  <c r="G49" i="7" s="1"/>
  <c r="E40" i="7"/>
  <c r="E29" i="7"/>
  <c r="E30" i="7"/>
  <c r="E31" i="7"/>
  <c r="E32" i="7"/>
  <c r="E33" i="7"/>
  <c r="E34" i="7"/>
  <c r="E37" i="7"/>
  <c r="E28" i="7"/>
  <c r="D26" i="7"/>
  <c r="E17" i="7"/>
  <c r="E18" i="7"/>
  <c r="E19" i="7"/>
  <c r="E20" i="7"/>
  <c r="E21" i="7"/>
  <c r="E22" i="7"/>
  <c r="E16" i="7"/>
  <c r="E5" i="7"/>
  <c r="E6" i="7"/>
  <c r="E7" i="7"/>
  <c r="E8" i="7"/>
  <c r="E9" i="7"/>
  <c r="E10" i="7"/>
  <c r="E13" i="7"/>
  <c r="G13" i="7" s="1"/>
  <c r="E4" i="7"/>
  <c r="D163" i="7"/>
  <c r="D162" i="7"/>
  <c r="D161" i="7"/>
  <c r="D160" i="7"/>
  <c r="E149" i="7"/>
  <c r="E150" i="7"/>
  <c r="E151" i="7"/>
  <c r="E152" i="7"/>
  <c r="E153" i="7"/>
  <c r="E154" i="7"/>
  <c r="E157" i="7"/>
  <c r="G157" i="7" s="1"/>
  <c r="E148" i="7"/>
  <c r="E137" i="7"/>
  <c r="E138" i="7"/>
  <c r="E139" i="7"/>
  <c r="E140" i="7"/>
  <c r="E141" i="7"/>
  <c r="E142" i="7"/>
  <c r="E145" i="7"/>
  <c r="G145" i="7" s="1"/>
  <c r="E136" i="7"/>
  <c r="E125" i="7"/>
  <c r="E126" i="7"/>
  <c r="E127" i="7"/>
  <c r="E128" i="7"/>
  <c r="E129" i="7"/>
  <c r="E130" i="7"/>
  <c r="E133" i="7"/>
  <c r="G133" i="7" s="1"/>
  <c r="E124" i="7"/>
  <c r="E113" i="7"/>
  <c r="E114" i="7"/>
  <c r="E115" i="7"/>
  <c r="E116" i="7"/>
  <c r="E117" i="7"/>
  <c r="E118" i="7"/>
  <c r="E121" i="7"/>
  <c r="E112" i="7"/>
  <c r="E101" i="7"/>
  <c r="E102" i="7"/>
  <c r="E103" i="7"/>
  <c r="E104" i="7"/>
  <c r="E105" i="7"/>
  <c r="E106" i="7"/>
  <c r="E109" i="7"/>
  <c r="G109" i="7" s="1"/>
  <c r="E100" i="7"/>
  <c r="K128" i="5" l="1"/>
  <c r="N67" i="6"/>
  <c r="M104" i="6"/>
  <c r="N104" i="6" s="1"/>
  <c r="N80" i="6"/>
  <c r="M130" i="6"/>
  <c r="N130" i="6" s="1"/>
  <c r="N127" i="6"/>
  <c r="S127" i="6" s="1"/>
  <c r="M117" i="6"/>
  <c r="N117" i="6" s="1"/>
  <c r="N114" i="6"/>
  <c r="S114" i="6" s="1"/>
  <c r="N89" i="6"/>
  <c r="N54" i="6"/>
  <c r="I20" i="41"/>
  <c r="I24" i="41" s="1"/>
  <c r="I25" i="41"/>
  <c r="K84" i="11"/>
  <c r="K89" i="32" s="1"/>
  <c r="L82" i="11"/>
  <c r="M82" i="11"/>
  <c r="M84" i="11" s="1"/>
  <c r="M156" i="6"/>
  <c r="N156" i="6" s="1"/>
  <c r="M48" i="6"/>
  <c r="M54" i="6" s="1"/>
  <c r="I173" i="6"/>
  <c r="K173" i="6" s="1"/>
  <c r="M173" i="6" s="1"/>
  <c r="K82" i="6"/>
  <c r="M82" i="6" s="1"/>
  <c r="N90" i="6"/>
  <c r="S90" i="6" s="1"/>
  <c r="K106" i="6"/>
  <c r="K54" i="6"/>
  <c r="K24" i="30"/>
  <c r="K67" i="6"/>
  <c r="O18" i="30"/>
  <c r="M17" i="30"/>
  <c r="M13" i="30"/>
  <c r="K12" i="30"/>
  <c r="K10" i="30" s="1"/>
  <c r="M113" i="6"/>
  <c r="M147" i="6"/>
  <c r="K152" i="6"/>
  <c r="N5" i="30"/>
  <c r="N85" i="6"/>
  <c r="S85" i="6" s="1"/>
  <c r="S124" i="6"/>
  <c r="M26" i="6"/>
  <c r="M61" i="6"/>
  <c r="M67" i="6" s="1"/>
  <c r="K119" i="6"/>
  <c r="S128" i="6"/>
  <c r="S89" i="6"/>
  <c r="S164" i="6"/>
  <c r="N86" i="6"/>
  <c r="S86" i="6" s="1"/>
  <c r="M169" i="6"/>
  <c r="N169" i="6" s="1"/>
  <c r="K80" i="6"/>
  <c r="M161" i="6"/>
  <c r="N161" i="6" s="1"/>
  <c r="N83" i="6" s="1"/>
  <c r="S83" i="6" s="1"/>
  <c r="M160" i="6"/>
  <c r="N160" i="6" s="1"/>
  <c r="K165" i="6"/>
  <c r="S4" i="6"/>
  <c r="M4" i="6"/>
  <c r="M9" i="6" s="1"/>
  <c r="N9" i="6" s="1"/>
  <c r="K9" i="6"/>
  <c r="M122" i="6"/>
  <c r="N122" i="6" s="1"/>
  <c r="K126" i="6"/>
  <c r="M123" i="6"/>
  <c r="N123" i="6" s="1"/>
  <c r="N84" i="6" s="1"/>
  <c r="M11" i="6"/>
  <c r="K58" i="11" s="1"/>
  <c r="K71" i="11" s="1"/>
  <c r="K85" i="11" s="1"/>
  <c r="I58" i="11"/>
  <c r="I71" i="11" s="1"/>
  <c r="I85" i="11" s="1"/>
  <c r="I179" i="6"/>
  <c r="K179" i="6" s="1"/>
  <c r="K88" i="6"/>
  <c r="I175" i="6"/>
  <c r="K175" i="6" s="1"/>
  <c r="M175" i="6" s="1"/>
  <c r="K84" i="6"/>
  <c r="M84" i="6" s="1"/>
  <c r="I174" i="6"/>
  <c r="K174" i="6" s="1"/>
  <c r="K83" i="6"/>
  <c r="M83" i="6" s="1"/>
  <c r="D91" i="5"/>
  <c r="D87" i="5" s="1"/>
  <c r="D84" i="5" s="1"/>
  <c r="D83" i="5" s="1"/>
  <c r="D39" i="5" s="1"/>
  <c r="D5" i="5" s="1"/>
  <c r="D4" i="5" s="1"/>
  <c r="D97" i="5"/>
  <c r="E7" i="42" s="1"/>
  <c r="I93" i="6"/>
  <c r="I184" i="6" s="1"/>
  <c r="G107" i="7"/>
  <c r="I107" i="7" s="1"/>
  <c r="K107" i="7" s="1"/>
  <c r="I109" i="7"/>
  <c r="K109" i="7" s="1"/>
  <c r="M109" i="7" s="1"/>
  <c r="N109" i="7" s="1"/>
  <c r="Q109" i="7" s="1"/>
  <c r="G155" i="7"/>
  <c r="I155" i="7" s="1"/>
  <c r="K155" i="7" s="1"/>
  <c r="I157" i="7"/>
  <c r="K157" i="7" s="1"/>
  <c r="M157" i="7" s="1"/>
  <c r="N157" i="7" s="1"/>
  <c r="Q157" i="7" s="1"/>
  <c r="G11" i="7"/>
  <c r="I11" i="7" s="1"/>
  <c r="I13" i="7"/>
  <c r="K13" i="7" s="1"/>
  <c r="G47" i="7"/>
  <c r="I47" i="7" s="1"/>
  <c r="K47" i="7" s="1"/>
  <c r="I49" i="7"/>
  <c r="K49" i="7" s="1"/>
  <c r="M49" i="7" s="1"/>
  <c r="N49" i="7" s="1"/>
  <c r="Q49" i="7" s="1"/>
  <c r="G59" i="7"/>
  <c r="I59" i="7" s="1"/>
  <c r="K59" i="7" s="1"/>
  <c r="I61" i="7"/>
  <c r="K61" i="7" s="1"/>
  <c r="M61" i="7" s="1"/>
  <c r="N61" i="7" s="1"/>
  <c r="Q61" i="7" s="1"/>
  <c r="G95" i="7"/>
  <c r="I95" i="7" s="1"/>
  <c r="K95" i="7" s="1"/>
  <c r="I97" i="7"/>
  <c r="K97" i="7" s="1"/>
  <c r="M97" i="7" s="1"/>
  <c r="N97" i="7" s="1"/>
  <c r="S108" i="6"/>
  <c r="G131" i="7"/>
  <c r="I131" i="7" s="1"/>
  <c r="K131" i="7" s="1"/>
  <c r="I133" i="7"/>
  <c r="K133" i="7" s="1"/>
  <c r="M133" i="7" s="1"/>
  <c r="N133" i="7" s="1"/>
  <c r="Q133" i="7" s="1"/>
  <c r="G143" i="7"/>
  <c r="I143" i="7" s="1"/>
  <c r="K143" i="7" s="1"/>
  <c r="I145" i="7"/>
  <c r="K145" i="7" s="1"/>
  <c r="M145" i="7" s="1"/>
  <c r="N145" i="7" s="1"/>
  <c r="G29" i="30"/>
  <c r="I24" i="30"/>
  <c r="I29" i="30" s="1"/>
  <c r="D53" i="5"/>
  <c r="D48" i="5" s="1"/>
  <c r="D12" i="2"/>
  <c r="I10" i="17" s="1"/>
  <c r="E12" i="42"/>
  <c r="E10" i="42" s="1"/>
  <c r="C14" i="41"/>
  <c r="C12" i="41" s="1"/>
  <c r="G83" i="7"/>
  <c r="G71" i="7"/>
  <c r="I71" i="7" s="1"/>
  <c r="K71" i="7" s="1"/>
  <c r="M71" i="7" s="1"/>
  <c r="N71" i="7" s="1"/>
  <c r="G184" i="6"/>
  <c r="G57" i="7"/>
  <c r="I57" i="7" s="1"/>
  <c r="K57" i="7" s="1"/>
  <c r="M57" i="7" s="1"/>
  <c r="N57" i="7" s="1"/>
  <c r="Q57" i="7" s="1"/>
  <c r="G81" i="7"/>
  <c r="G100" i="7"/>
  <c r="I100" i="7" s="1"/>
  <c r="K100" i="7" s="1"/>
  <c r="M100" i="7" s="1"/>
  <c r="G104" i="7"/>
  <c r="I104" i="7" s="1"/>
  <c r="K104" i="7" s="1"/>
  <c r="M104" i="7" s="1"/>
  <c r="N104" i="7" s="1"/>
  <c r="Q104" i="7" s="1"/>
  <c r="O112" i="7"/>
  <c r="G112" i="7"/>
  <c r="I112" i="7" s="1"/>
  <c r="K112" i="7" s="1"/>
  <c r="M112" i="7" s="1"/>
  <c r="O116" i="7"/>
  <c r="O80" i="7" s="1"/>
  <c r="O164" i="7" s="1"/>
  <c r="G116" i="7"/>
  <c r="I116" i="7" s="1"/>
  <c r="K116" i="7" s="1"/>
  <c r="M116" i="7" s="1"/>
  <c r="N116" i="7" s="1"/>
  <c r="G124" i="7"/>
  <c r="I124" i="7" s="1"/>
  <c r="K124" i="7" s="1"/>
  <c r="M124" i="7" s="1"/>
  <c r="G128" i="7"/>
  <c r="I128" i="7" s="1"/>
  <c r="K128" i="7" s="1"/>
  <c r="M128" i="7" s="1"/>
  <c r="N128" i="7" s="1"/>
  <c r="Q128" i="7" s="1"/>
  <c r="G136" i="7"/>
  <c r="I136" i="7" s="1"/>
  <c r="K136" i="7" s="1"/>
  <c r="M136" i="7" s="1"/>
  <c r="G140" i="7"/>
  <c r="I140" i="7" s="1"/>
  <c r="K140" i="7" s="1"/>
  <c r="M140" i="7" s="1"/>
  <c r="N140" i="7" s="1"/>
  <c r="Q140" i="7" s="1"/>
  <c r="G148" i="7"/>
  <c r="I148" i="7" s="1"/>
  <c r="K148" i="7" s="1"/>
  <c r="M148" i="7" s="1"/>
  <c r="G152" i="7"/>
  <c r="I152" i="7" s="1"/>
  <c r="K152" i="7" s="1"/>
  <c r="M152" i="7" s="1"/>
  <c r="N152" i="7" s="1"/>
  <c r="Q152" i="7" s="1"/>
  <c r="G4" i="7"/>
  <c r="I4" i="7" s="1"/>
  <c r="K4" i="7" s="1"/>
  <c r="G8" i="7"/>
  <c r="I8" i="7" s="1"/>
  <c r="K8" i="7" s="1"/>
  <c r="G16" i="7"/>
  <c r="I16" i="7" s="1"/>
  <c r="K16" i="7" s="1"/>
  <c r="M16" i="7" s="1"/>
  <c r="G19" i="7"/>
  <c r="I19" i="7" s="1"/>
  <c r="K19" i="7" s="1"/>
  <c r="M19" i="7" s="1"/>
  <c r="N19" i="7" s="1"/>
  <c r="Q19" i="7" s="1"/>
  <c r="G28" i="7"/>
  <c r="I28" i="7" s="1"/>
  <c r="K28" i="7" s="1"/>
  <c r="M28" i="7" s="1"/>
  <c r="G32" i="7"/>
  <c r="I32" i="7" s="1"/>
  <c r="K32" i="7" s="1"/>
  <c r="M32" i="7" s="1"/>
  <c r="N32" i="7" s="1"/>
  <c r="Q32" i="7" s="1"/>
  <c r="G40" i="7"/>
  <c r="I40" i="7" s="1"/>
  <c r="K40" i="7" s="1"/>
  <c r="M40" i="7" s="1"/>
  <c r="G44" i="7"/>
  <c r="I44" i="7" s="1"/>
  <c r="K44" i="7" s="1"/>
  <c r="M44" i="7" s="1"/>
  <c r="N44" i="7" s="1"/>
  <c r="Q44" i="7" s="1"/>
  <c r="G52" i="7"/>
  <c r="I52" i="7" s="1"/>
  <c r="K52" i="7" s="1"/>
  <c r="M52" i="7" s="1"/>
  <c r="N52" i="7" s="1"/>
  <c r="Q52" i="7" s="1"/>
  <c r="G56" i="7"/>
  <c r="I56" i="7" s="1"/>
  <c r="K56" i="7" s="1"/>
  <c r="M56" i="7" s="1"/>
  <c r="N56" i="7" s="1"/>
  <c r="Q56" i="7" s="1"/>
  <c r="G64" i="7"/>
  <c r="I64" i="7" s="1"/>
  <c r="K64" i="7" s="1"/>
  <c r="M64" i="7" s="1"/>
  <c r="G68" i="7"/>
  <c r="I68" i="7" s="1"/>
  <c r="K68" i="7" s="1"/>
  <c r="M68" i="7" s="1"/>
  <c r="N68" i="7" s="1"/>
  <c r="Q68" i="7" s="1"/>
  <c r="G76" i="7"/>
  <c r="G80" i="7"/>
  <c r="G88" i="7"/>
  <c r="I88" i="7" s="1"/>
  <c r="K88" i="7" s="1"/>
  <c r="M88" i="7" s="1"/>
  <c r="G92" i="7"/>
  <c r="I92" i="7" s="1"/>
  <c r="K92" i="7" s="1"/>
  <c r="M92" i="7" s="1"/>
  <c r="N92" i="7" s="1"/>
  <c r="Q92" i="7" s="1"/>
  <c r="G105" i="7"/>
  <c r="I105" i="7" s="1"/>
  <c r="K105" i="7" s="1"/>
  <c r="M105" i="7" s="1"/>
  <c r="N105" i="7" s="1"/>
  <c r="Q105" i="7" s="1"/>
  <c r="O113" i="7"/>
  <c r="G113" i="7"/>
  <c r="I113" i="7" s="1"/>
  <c r="K113" i="7" s="1"/>
  <c r="M113" i="7" s="1"/>
  <c r="N113" i="7" s="1"/>
  <c r="G141" i="7"/>
  <c r="I141" i="7" s="1"/>
  <c r="K141" i="7" s="1"/>
  <c r="M141" i="7" s="1"/>
  <c r="N141" i="7" s="1"/>
  <c r="Q141" i="7" s="1"/>
  <c r="G153" i="7"/>
  <c r="I153" i="7" s="1"/>
  <c r="K153" i="7" s="1"/>
  <c r="M153" i="7" s="1"/>
  <c r="N153" i="7" s="1"/>
  <c r="Q153" i="7" s="1"/>
  <c r="G5" i="7"/>
  <c r="I5" i="7" s="1"/>
  <c r="K5" i="7" s="1"/>
  <c r="G29" i="7"/>
  <c r="I29" i="7" s="1"/>
  <c r="K29" i="7" s="1"/>
  <c r="M29" i="7" s="1"/>
  <c r="N29" i="7" s="1"/>
  <c r="Q29" i="7" s="1"/>
  <c r="G69" i="7"/>
  <c r="I69" i="7" s="1"/>
  <c r="K69" i="7" s="1"/>
  <c r="M69" i="7" s="1"/>
  <c r="N69" i="7" s="1"/>
  <c r="Q69" i="7" s="1"/>
  <c r="G103" i="7"/>
  <c r="I103" i="7" s="1"/>
  <c r="K103" i="7" s="1"/>
  <c r="M103" i="7" s="1"/>
  <c r="N103" i="7" s="1"/>
  <c r="Q103" i="7" s="1"/>
  <c r="G115" i="7"/>
  <c r="I115" i="7" s="1"/>
  <c r="K115" i="7" s="1"/>
  <c r="M115" i="7" s="1"/>
  <c r="O115" i="7" s="1"/>
  <c r="O79" i="7" s="1"/>
  <c r="G139" i="7"/>
  <c r="I139" i="7" s="1"/>
  <c r="K139" i="7" s="1"/>
  <c r="M139" i="7" s="1"/>
  <c r="N139" i="7" s="1"/>
  <c r="Q139" i="7" s="1"/>
  <c r="G18" i="7"/>
  <c r="I18" i="7" s="1"/>
  <c r="K18" i="7" s="1"/>
  <c r="M18" i="7" s="1"/>
  <c r="N18" i="7" s="1"/>
  <c r="Q18" i="7" s="1"/>
  <c r="G31" i="7"/>
  <c r="I31" i="7" s="1"/>
  <c r="K31" i="7" s="1"/>
  <c r="M31" i="7" s="1"/>
  <c r="N31" i="7" s="1"/>
  <c r="Q31" i="7" s="1"/>
  <c r="G67" i="7"/>
  <c r="I67" i="7" s="1"/>
  <c r="K67" i="7" s="1"/>
  <c r="G91" i="7"/>
  <c r="I91" i="7" s="1"/>
  <c r="K91" i="7" s="1"/>
  <c r="M91" i="7" s="1"/>
  <c r="N91" i="7" s="1"/>
  <c r="Q91" i="7" s="1"/>
  <c r="G101" i="7"/>
  <c r="I101" i="7" s="1"/>
  <c r="K101" i="7" s="1"/>
  <c r="M101" i="7" s="1"/>
  <c r="N101" i="7" s="1"/>
  <c r="Q101" i="7" s="1"/>
  <c r="O117" i="7"/>
  <c r="O81" i="7" s="1"/>
  <c r="O165" i="7" s="1"/>
  <c r="G117" i="7"/>
  <c r="I117" i="7" s="1"/>
  <c r="K117" i="7" s="1"/>
  <c r="M117" i="7" s="1"/>
  <c r="N117" i="7" s="1"/>
  <c r="G129" i="7"/>
  <c r="I129" i="7" s="1"/>
  <c r="K129" i="7" s="1"/>
  <c r="M129" i="7" s="1"/>
  <c r="N129" i="7" s="1"/>
  <c r="Q129" i="7" s="1"/>
  <c r="G125" i="7"/>
  <c r="I125" i="7" s="1"/>
  <c r="K125" i="7" s="1"/>
  <c r="M125" i="7" s="1"/>
  <c r="N125" i="7" s="1"/>
  <c r="G137" i="7"/>
  <c r="I137" i="7" s="1"/>
  <c r="K137" i="7" s="1"/>
  <c r="M137" i="7" s="1"/>
  <c r="N137" i="7" s="1"/>
  <c r="Q137" i="7" s="1"/>
  <c r="G149" i="7"/>
  <c r="I149" i="7" s="1"/>
  <c r="K149" i="7" s="1"/>
  <c r="M149" i="7" s="1"/>
  <c r="N149" i="7" s="1"/>
  <c r="Q149" i="7" s="1"/>
  <c r="G9" i="7"/>
  <c r="I9" i="7" s="1"/>
  <c r="K9" i="7" s="1"/>
  <c r="G20" i="7"/>
  <c r="I20" i="7" s="1"/>
  <c r="K20" i="7" s="1"/>
  <c r="M20" i="7" s="1"/>
  <c r="N20" i="7" s="1"/>
  <c r="Q20" i="7" s="1"/>
  <c r="G33" i="7"/>
  <c r="I33" i="7" s="1"/>
  <c r="K33" i="7" s="1"/>
  <c r="M33" i="7" s="1"/>
  <c r="N33" i="7" s="1"/>
  <c r="Q33" i="7" s="1"/>
  <c r="G45" i="7"/>
  <c r="I45" i="7" s="1"/>
  <c r="K45" i="7" s="1"/>
  <c r="M45" i="7" s="1"/>
  <c r="N45" i="7" s="1"/>
  <c r="Q45" i="7" s="1"/>
  <c r="G41" i="7"/>
  <c r="I41" i="7" s="1"/>
  <c r="K41" i="7" s="1"/>
  <c r="M41" i="7" s="1"/>
  <c r="N41" i="7" s="1"/>
  <c r="G53" i="7"/>
  <c r="I53" i="7" s="1"/>
  <c r="K53" i="7" s="1"/>
  <c r="M53" i="7" s="1"/>
  <c r="N53" i="7" s="1"/>
  <c r="G65" i="7"/>
  <c r="I65" i="7" s="1"/>
  <c r="K65" i="7" s="1"/>
  <c r="M65" i="7" s="1"/>
  <c r="N65" i="7" s="1"/>
  <c r="Q65" i="7" s="1"/>
  <c r="G77" i="7"/>
  <c r="G93" i="7"/>
  <c r="I93" i="7" s="1"/>
  <c r="K93" i="7" s="1"/>
  <c r="M93" i="7" s="1"/>
  <c r="N93" i="7" s="1"/>
  <c r="Q93" i="7" s="1"/>
  <c r="G89" i="7"/>
  <c r="I89" i="7" s="1"/>
  <c r="K89" i="7" s="1"/>
  <c r="M89" i="7" s="1"/>
  <c r="N89" i="7" s="1"/>
  <c r="Q89" i="7" s="1"/>
  <c r="G121" i="7"/>
  <c r="E119" i="7"/>
  <c r="E122" i="7" s="1"/>
  <c r="G127" i="7"/>
  <c r="I127" i="7" s="1"/>
  <c r="K127" i="7" s="1"/>
  <c r="M127" i="7" s="1"/>
  <c r="N127" i="7" s="1"/>
  <c r="Q127" i="7" s="1"/>
  <c r="G151" i="7"/>
  <c r="I151" i="7" s="1"/>
  <c r="K151" i="7" s="1"/>
  <c r="M151" i="7" s="1"/>
  <c r="N151" i="7" s="1"/>
  <c r="Q151" i="7" s="1"/>
  <c r="G7" i="7"/>
  <c r="I7" i="7" s="1"/>
  <c r="K7" i="7" s="1"/>
  <c r="M7" i="7" s="1"/>
  <c r="G22" i="7"/>
  <c r="I22" i="7" s="1"/>
  <c r="K22" i="7" s="1"/>
  <c r="M22" i="7" s="1"/>
  <c r="N22" i="7" s="1"/>
  <c r="Q22" i="7" s="1"/>
  <c r="G37" i="7"/>
  <c r="G43" i="7"/>
  <c r="I43" i="7" s="1"/>
  <c r="K43" i="7" s="1"/>
  <c r="M43" i="7" s="1"/>
  <c r="N43" i="7" s="1"/>
  <c r="Q43" i="7" s="1"/>
  <c r="G55" i="7"/>
  <c r="I55" i="7" s="1"/>
  <c r="K55" i="7" s="1"/>
  <c r="M55" i="7" s="1"/>
  <c r="N55" i="7" s="1"/>
  <c r="Q55" i="7" s="1"/>
  <c r="G106" i="7"/>
  <c r="I106" i="7" s="1"/>
  <c r="K106" i="7" s="1"/>
  <c r="M106" i="7" s="1"/>
  <c r="N106" i="7" s="1"/>
  <c r="Q106" i="7" s="1"/>
  <c r="G102" i="7"/>
  <c r="I102" i="7" s="1"/>
  <c r="K102" i="7" s="1"/>
  <c r="M102" i="7" s="1"/>
  <c r="N102" i="7" s="1"/>
  <c r="Q102" i="7" s="1"/>
  <c r="O118" i="7"/>
  <c r="O82" i="7" s="1"/>
  <c r="O166" i="7" s="1"/>
  <c r="G118" i="7"/>
  <c r="I118" i="7" s="1"/>
  <c r="K118" i="7" s="1"/>
  <c r="M118" i="7" s="1"/>
  <c r="N118" i="7" s="1"/>
  <c r="O114" i="7"/>
  <c r="G114" i="7"/>
  <c r="I114" i="7" s="1"/>
  <c r="K114" i="7" s="1"/>
  <c r="M114" i="7" s="1"/>
  <c r="N114" i="7" s="1"/>
  <c r="G130" i="7"/>
  <c r="I130" i="7" s="1"/>
  <c r="K130" i="7" s="1"/>
  <c r="M130" i="7" s="1"/>
  <c r="N130" i="7" s="1"/>
  <c r="Q130" i="7" s="1"/>
  <c r="G126" i="7"/>
  <c r="I126" i="7" s="1"/>
  <c r="K126" i="7" s="1"/>
  <c r="M126" i="7" s="1"/>
  <c r="N126" i="7" s="1"/>
  <c r="Q126" i="7" s="1"/>
  <c r="G142" i="7"/>
  <c r="I142" i="7" s="1"/>
  <c r="K142" i="7" s="1"/>
  <c r="M142" i="7" s="1"/>
  <c r="N142" i="7" s="1"/>
  <c r="Q142" i="7" s="1"/>
  <c r="G138" i="7"/>
  <c r="I138" i="7" s="1"/>
  <c r="K138" i="7" s="1"/>
  <c r="M138" i="7" s="1"/>
  <c r="N138" i="7" s="1"/>
  <c r="Q138" i="7" s="1"/>
  <c r="G154" i="7"/>
  <c r="I154" i="7" s="1"/>
  <c r="K154" i="7" s="1"/>
  <c r="M154" i="7" s="1"/>
  <c r="N154" i="7" s="1"/>
  <c r="Q154" i="7" s="1"/>
  <c r="G150" i="7"/>
  <c r="I150" i="7" s="1"/>
  <c r="K150" i="7" s="1"/>
  <c r="M150" i="7" s="1"/>
  <c r="N150" i="7" s="1"/>
  <c r="Q150" i="7" s="1"/>
  <c r="G10" i="7"/>
  <c r="I10" i="7" s="1"/>
  <c r="K10" i="7" s="1"/>
  <c r="M10" i="7" s="1"/>
  <c r="G6" i="7"/>
  <c r="I6" i="7" s="1"/>
  <c r="K6" i="7" s="1"/>
  <c r="M6" i="7" s="1"/>
  <c r="G21" i="7"/>
  <c r="I21" i="7" s="1"/>
  <c r="K21" i="7" s="1"/>
  <c r="M21" i="7" s="1"/>
  <c r="N21" i="7" s="1"/>
  <c r="Q21" i="7" s="1"/>
  <c r="G17" i="7"/>
  <c r="I17" i="7" s="1"/>
  <c r="K17" i="7" s="1"/>
  <c r="M17" i="7" s="1"/>
  <c r="N17" i="7" s="1"/>
  <c r="G34" i="7"/>
  <c r="I34" i="7" s="1"/>
  <c r="K34" i="7" s="1"/>
  <c r="M34" i="7" s="1"/>
  <c r="N34" i="7" s="1"/>
  <c r="Q34" i="7" s="1"/>
  <c r="G30" i="7"/>
  <c r="I30" i="7" s="1"/>
  <c r="K30" i="7" s="1"/>
  <c r="M30" i="7" s="1"/>
  <c r="N30" i="7" s="1"/>
  <c r="Q30" i="7" s="1"/>
  <c r="G46" i="7"/>
  <c r="I46" i="7" s="1"/>
  <c r="K46" i="7" s="1"/>
  <c r="M46" i="7" s="1"/>
  <c r="N46" i="7" s="1"/>
  <c r="Q46" i="7" s="1"/>
  <c r="G42" i="7"/>
  <c r="I42" i="7" s="1"/>
  <c r="K42" i="7" s="1"/>
  <c r="M42" i="7" s="1"/>
  <c r="N42" i="7" s="1"/>
  <c r="Q42" i="7" s="1"/>
  <c r="G58" i="7"/>
  <c r="I58" i="7" s="1"/>
  <c r="K58" i="7" s="1"/>
  <c r="M58" i="7" s="1"/>
  <c r="N58" i="7" s="1"/>
  <c r="Q58" i="7" s="1"/>
  <c r="G54" i="7"/>
  <c r="I54" i="7" s="1"/>
  <c r="K54" i="7" s="1"/>
  <c r="M54" i="7" s="1"/>
  <c r="N54" i="7" s="1"/>
  <c r="Q54" i="7" s="1"/>
  <c r="G70" i="7"/>
  <c r="I70" i="7" s="1"/>
  <c r="K70" i="7" s="1"/>
  <c r="M70" i="7" s="1"/>
  <c r="N70" i="7" s="1"/>
  <c r="Q70" i="7" s="1"/>
  <c r="G66" i="7"/>
  <c r="I66" i="7" s="1"/>
  <c r="K66" i="7" s="1"/>
  <c r="M66" i="7" s="1"/>
  <c r="N66" i="7" s="1"/>
  <c r="Q66" i="7" s="1"/>
  <c r="G82" i="7"/>
  <c r="G78" i="7"/>
  <c r="G94" i="7"/>
  <c r="I94" i="7" s="1"/>
  <c r="K94" i="7" s="1"/>
  <c r="M94" i="7" s="1"/>
  <c r="N94" i="7" s="1"/>
  <c r="Q94" i="7" s="1"/>
  <c r="G90" i="7"/>
  <c r="I90" i="7" s="1"/>
  <c r="K90" i="7" s="1"/>
  <c r="M90" i="7" s="1"/>
  <c r="N90" i="7" s="1"/>
  <c r="Q90" i="7" s="1"/>
  <c r="E107" i="7"/>
  <c r="E131" i="7"/>
  <c r="E143" i="7"/>
  <c r="Q145" i="7"/>
  <c r="E155" i="7"/>
  <c r="E95" i="7"/>
  <c r="Q97" i="7"/>
  <c r="E83" i="7"/>
  <c r="E71" i="7"/>
  <c r="E59" i="7"/>
  <c r="E47" i="7"/>
  <c r="E11" i="7"/>
  <c r="E166" i="7"/>
  <c r="E26" i="7"/>
  <c r="E164" i="7"/>
  <c r="E165" i="7"/>
  <c r="E8" i="42"/>
  <c r="C10" i="41"/>
  <c r="E162" i="7"/>
  <c r="E163" i="7"/>
  <c r="E160" i="7"/>
  <c r="E161" i="7"/>
  <c r="D170" i="7"/>
  <c r="O27" i="11"/>
  <c r="S96" i="6"/>
  <c r="S97" i="6"/>
  <c r="S98" i="6"/>
  <c r="S99" i="6"/>
  <c r="S95" i="6"/>
  <c r="C27" i="11"/>
  <c r="L122" i="5"/>
  <c r="O122" i="5" s="1"/>
  <c r="C122" i="5"/>
  <c r="E122" i="5" s="1"/>
  <c r="G122" i="5" s="1"/>
  <c r="I122" i="5" s="1"/>
  <c r="K122" i="5" s="1"/>
  <c r="C79" i="11"/>
  <c r="M191" i="1"/>
  <c r="N42" i="11"/>
  <c r="N88" i="6" l="1"/>
  <c r="S88" i="6" s="1"/>
  <c r="M106" i="6"/>
  <c r="N106" i="6" s="1"/>
  <c r="M87" i="6"/>
  <c r="Q117" i="7"/>
  <c r="S160" i="6"/>
  <c r="S161" i="6"/>
  <c r="M152" i="6"/>
  <c r="N147" i="6"/>
  <c r="S147" i="6" s="1"/>
  <c r="M119" i="6"/>
  <c r="N119" i="6" s="1"/>
  <c r="N113" i="6"/>
  <c r="L84" i="11"/>
  <c r="O82" i="11"/>
  <c r="M28" i="6"/>
  <c r="N26" i="6"/>
  <c r="N28" i="6" s="1"/>
  <c r="K29" i="30"/>
  <c r="D6" i="2"/>
  <c r="E6" i="42"/>
  <c r="M165" i="6"/>
  <c r="Q113" i="7"/>
  <c r="N10" i="7"/>
  <c r="Q10" i="7" s="1"/>
  <c r="N6" i="7"/>
  <c r="Q6" i="7" s="1"/>
  <c r="Q114" i="7"/>
  <c r="N88" i="7"/>
  <c r="N64" i="7"/>
  <c r="N40" i="7"/>
  <c r="N28" i="7"/>
  <c r="Q28" i="7" s="1"/>
  <c r="N148" i="7"/>
  <c r="Q148" i="7" s="1"/>
  <c r="N124" i="7"/>
  <c r="Q124" i="7" s="1"/>
  <c r="N112" i="7"/>
  <c r="N122" i="7" s="1"/>
  <c r="N100" i="7"/>
  <c r="Q100" i="7" s="1"/>
  <c r="K146" i="7"/>
  <c r="M143" i="7"/>
  <c r="N143" i="7" s="1"/>
  <c r="Q143" i="7" s="1"/>
  <c r="K134" i="7"/>
  <c r="M131" i="7"/>
  <c r="N131" i="7" s="1"/>
  <c r="Q131" i="7" s="1"/>
  <c r="K98" i="7"/>
  <c r="M95" i="7"/>
  <c r="N95" i="7" s="1"/>
  <c r="Q95" i="7" s="1"/>
  <c r="K62" i="7"/>
  <c r="M59" i="7"/>
  <c r="K50" i="7"/>
  <c r="M47" i="7"/>
  <c r="N47" i="7" s="1"/>
  <c r="Q47" i="7" s="1"/>
  <c r="K158" i="7"/>
  <c r="M155" i="7"/>
  <c r="N155" i="7" s="1"/>
  <c r="Q155" i="7" s="1"/>
  <c r="K110" i="7"/>
  <c r="M107" i="7"/>
  <c r="N107" i="7" s="1"/>
  <c r="Q107" i="7" s="1"/>
  <c r="K91" i="6"/>
  <c r="M88" i="6"/>
  <c r="M91" i="6" s="1"/>
  <c r="S84" i="6"/>
  <c r="S123" i="6"/>
  <c r="K132" i="6"/>
  <c r="S122" i="6"/>
  <c r="K171" i="6"/>
  <c r="K158" i="6"/>
  <c r="N7" i="7"/>
  <c r="Q7" i="7" s="1"/>
  <c r="M9" i="7"/>
  <c r="M67" i="7"/>
  <c r="N67" i="7" s="1"/>
  <c r="Q67" i="7" s="1"/>
  <c r="M5" i="7"/>
  <c r="N16" i="7"/>
  <c r="Q16" i="7" s="1"/>
  <c r="M8" i="7"/>
  <c r="M4" i="7"/>
  <c r="N136" i="7"/>
  <c r="N146" i="7" s="1"/>
  <c r="M13" i="7"/>
  <c r="K178" i="6"/>
  <c r="M174" i="6"/>
  <c r="M178" i="6" s="1"/>
  <c r="K182" i="6"/>
  <c r="M179" i="6"/>
  <c r="M182" i="6" s="1"/>
  <c r="M126" i="6"/>
  <c r="K15" i="6"/>
  <c r="O13" i="30"/>
  <c r="M12" i="30"/>
  <c r="M10" i="30" s="1"/>
  <c r="M29" i="30" s="1"/>
  <c r="O17" i="30"/>
  <c r="Q18" i="30"/>
  <c r="M13" i="6"/>
  <c r="M15" i="6" s="1"/>
  <c r="N15" i="6" s="1"/>
  <c r="K87" i="6"/>
  <c r="K93" i="6" s="1"/>
  <c r="C8" i="41"/>
  <c r="Q71" i="7"/>
  <c r="K74" i="7"/>
  <c r="I79" i="7"/>
  <c r="K79" i="7" s="1"/>
  <c r="M79" i="7" s="1"/>
  <c r="N79" i="7" s="1"/>
  <c r="I81" i="7"/>
  <c r="I78" i="7"/>
  <c r="G35" i="7"/>
  <c r="I35" i="7" s="1"/>
  <c r="K35" i="7" s="1"/>
  <c r="I37" i="7"/>
  <c r="K37" i="7" s="1"/>
  <c r="M37" i="7" s="1"/>
  <c r="N37" i="7" s="1"/>
  <c r="Q37" i="7" s="1"/>
  <c r="G119" i="7"/>
  <c r="I119" i="7" s="1"/>
  <c r="I121" i="7"/>
  <c r="I77" i="7"/>
  <c r="I80" i="7"/>
  <c r="I76" i="7"/>
  <c r="I82" i="7"/>
  <c r="D3" i="5"/>
  <c r="E5" i="42" s="1"/>
  <c r="E4" i="42" s="1"/>
  <c r="E14" i="42" s="1"/>
  <c r="E18" i="42" s="1"/>
  <c r="E22" i="42" s="1"/>
  <c r="Q118" i="7"/>
  <c r="C9" i="41"/>
  <c r="O163" i="7"/>
  <c r="Q115" i="7"/>
  <c r="Q17" i="7"/>
  <c r="Q53" i="7"/>
  <c r="Q41" i="7"/>
  <c r="Q125" i="7"/>
  <c r="D7" i="2"/>
  <c r="D10" i="2"/>
  <c r="Q73" i="7"/>
  <c r="G161" i="7"/>
  <c r="G98" i="7"/>
  <c r="I98" i="7" s="1"/>
  <c r="G86" i="7"/>
  <c r="G74" i="7"/>
  <c r="I74" i="7" s="1"/>
  <c r="G62" i="7"/>
  <c r="I62" i="7" s="1"/>
  <c r="G50" i="7"/>
  <c r="I50" i="7" s="1"/>
  <c r="G26" i="7"/>
  <c r="G160" i="7"/>
  <c r="G14" i="7"/>
  <c r="I14" i="7" s="1"/>
  <c r="G158" i="7"/>
  <c r="I158" i="7" s="1"/>
  <c r="G146" i="7"/>
  <c r="I146" i="7" s="1"/>
  <c r="G134" i="7"/>
  <c r="I134" i="7" s="1"/>
  <c r="E54" i="11"/>
  <c r="G27" i="11"/>
  <c r="Q116" i="7"/>
  <c r="G162" i="7"/>
  <c r="G163" i="7"/>
  <c r="G110" i="7"/>
  <c r="I110" i="7" s="1"/>
  <c r="G166" i="7"/>
  <c r="G165" i="7"/>
  <c r="E110" i="7"/>
  <c r="G164" i="7"/>
  <c r="E146" i="7"/>
  <c r="E158" i="7"/>
  <c r="E134" i="7"/>
  <c r="E74" i="7"/>
  <c r="E14" i="7"/>
  <c r="E98" i="7"/>
  <c r="E86" i="7"/>
  <c r="E62" i="7"/>
  <c r="E50" i="7"/>
  <c r="Q28" i="30"/>
  <c r="D7" i="4"/>
  <c r="D17" i="4" s="1"/>
  <c r="G74" i="34"/>
  <c r="G73" i="34"/>
  <c r="G71" i="34"/>
  <c r="G69" i="34"/>
  <c r="G68" i="34"/>
  <c r="G67" i="34"/>
  <c r="G66" i="34"/>
  <c r="G62" i="34"/>
  <c r="G61" i="34"/>
  <c r="G59" i="34"/>
  <c r="G58" i="34"/>
  <c r="G56" i="34"/>
  <c r="G54" i="34"/>
  <c r="G53" i="34"/>
  <c r="G52" i="34"/>
  <c r="G51" i="34"/>
  <c r="G50" i="34"/>
  <c r="G49" i="34"/>
  <c r="G48" i="34"/>
  <c r="G47" i="34"/>
  <c r="G45" i="34"/>
  <c r="G44" i="34"/>
  <c r="G43" i="34"/>
  <c r="G42" i="34"/>
  <c r="G41" i="34"/>
  <c r="G39" i="34"/>
  <c r="G38" i="34"/>
  <c r="G37" i="34"/>
  <c r="G34" i="34"/>
  <c r="G29" i="34"/>
  <c r="G24" i="34"/>
  <c r="G23" i="34"/>
  <c r="G22" i="34"/>
  <c r="G21" i="34"/>
  <c r="G20" i="34"/>
  <c r="G19" i="34"/>
  <c r="G13" i="34"/>
  <c r="G12" i="34"/>
  <c r="G11" i="34"/>
  <c r="G10" i="34"/>
  <c r="G9" i="34"/>
  <c r="G7" i="34"/>
  <c r="G5" i="34"/>
  <c r="G4" i="34"/>
  <c r="G3" i="34"/>
  <c r="Q136" i="7" l="1"/>
  <c r="K184" i="6"/>
  <c r="N134" i="7"/>
  <c r="M171" i="6"/>
  <c r="N171" i="6" s="1"/>
  <c r="N165" i="6"/>
  <c r="M158" i="6"/>
  <c r="N158" i="6" s="1"/>
  <c r="N152" i="6"/>
  <c r="N82" i="6"/>
  <c r="S82" i="6" s="1"/>
  <c r="M132" i="6"/>
  <c r="N132" i="6" s="1"/>
  <c r="N126" i="6"/>
  <c r="I163" i="7"/>
  <c r="M93" i="6"/>
  <c r="M146" i="7"/>
  <c r="N98" i="7"/>
  <c r="N110" i="7"/>
  <c r="N158" i="7"/>
  <c r="Q112" i="7"/>
  <c r="Q88" i="7"/>
  <c r="D159" i="5"/>
  <c r="D200" i="1" s="1"/>
  <c r="M184" i="6"/>
  <c r="I160" i="7"/>
  <c r="K76" i="7"/>
  <c r="I161" i="7"/>
  <c r="K77" i="7"/>
  <c r="I85" i="7"/>
  <c r="K121" i="7"/>
  <c r="M121" i="7" s="1"/>
  <c r="O121" i="7" s="1"/>
  <c r="I162" i="7"/>
  <c r="K78" i="7"/>
  <c r="N13" i="7"/>
  <c r="Q13" i="7" s="1"/>
  <c r="N8" i="7"/>
  <c r="N5" i="7"/>
  <c r="K163" i="7"/>
  <c r="N9" i="7"/>
  <c r="N50" i="7"/>
  <c r="Q40" i="7"/>
  <c r="M74" i="7"/>
  <c r="I166" i="7"/>
  <c r="K82" i="7"/>
  <c r="I164" i="7"/>
  <c r="K80" i="7"/>
  <c r="K38" i="7"/>
  <c r="M35" i="7"/>
  <c r="I165" i="7"/>
  <c r="K81" i="7"/>
  <c r="O12" i="30"/>
  <c r="O10" i="30" s="1"/>
  <c r="Q13" i="30"/>
  <c r="N4" i="7"/>
  <c r="M163" i="7"/>
  <c r="M62" i="7"/>
  <c r="N59" i="7"/>
  <c r="M110" i="7"/>
  <c r="M134" i="7"/>
  <c r="M158" i="7"/>
  <c r="M50" i="7"/>
  <c r="N74" i="7"/>
  <c r="Q64" i="7"/>
  <c r="M98" i="7"/>
  <c r="D5" i="2"/>
  <c r="C4" i="2" s="1"/>
  <c r="C14" i="2" s="1"/>
  <c r="C18" i="2" s="1"/>
  <c r="C22" i="2" s="1"/>
  <c r="I83" i="7"/>
  <c r="K83" i="7" s="1"/>
  <c r="M83" i="7" s="1"/>
  <c r="K119" i="7"/>
  <c r="C7" i="41"/>
  <c r="C6" i="41" s="1"/>
  <c r="C16" i="41" s="1"/>
  <c r="C20" i="41" s="1"/>
  <c r="C24" i="41" s="1"/>
  <c r="G42" i="11"/>
  <c r="G191" i="1" s="1"/>
  <c r="I27" i="11"/>
  <c r="N163" i="7"/>
  <c r="Q79" i="7"/>
  <c r="G122" i="7"/>
  <c r="I122" i="7" s="1"/>
  <c r="I86" i="7" s="1"/>
  <c r="G38" i="7"/>
  <c r="I38" i="7" s="1"/>
  <c r="G167" i="7"/>
  <c r="G169" i="7" s="1"/>
  <c r="E191" i="1"/>
  <c r="N188" i="1"/>
  <c r="N186" i="1"/>
  <c r="C186" i="1"/>
  <c r="N185" i="1"/>
  <c r="C185" i="1"/>
  <c r="C37" i="1"/>
  <c r="C86" i="32"/>
  <c r="C83" i="32"/>
  <c r="C82" i="32"/>
  <c r="O11" i="43"/>
  <c r="O12" i="43"/>
  <c r="K122" i="7" l="1"/>
  <c r="M119" i="7"/>
  <c r="Q4" i="7"/>
  <c r="M81" i="7"/>
  <c r="K165" i="7"/>
  <c r="N35" i="7"/>
  <c r="N38" i="7" s="1"/>
  <c r="M38" i="7"/>
  <c r="M80" i="7"/>
  <c r="K164" i="7"/>
  <c r="K166" i="7"/>
  <c r="M82" i="7"/>
  <c r="K162" i="7"/>
  <c r="M78" i="7"/>
  <c r="Q121" i="7"/>
  <c r="O85" i="7"/>
  <c r="M77" i="7"/>
  <c r="K161" i="7"/>
  <c r="M76" i="7"/>
  <c r="K160" i="7"/>
  <c r="I42" i="11"/>
  <c r="I54" i="11" s="1"/>
  <c r="K27" i="11"/>
  <c r="K42" i="11" s="1"/>
  <c r="N62" i="7"/>
  <c r="Q59" i="7"/>
  <c r="Q9" i="7"/>
  <c r="Q5" i="7"/>
  <c r="Q8" i="7"/>
  <c r="I169" i="7"/>
  <c r="K85" i="7"/>
  <c r="D4" i="2"/>
  <c r="D14" i="2" s="1"/>
  <c r="D18" i="2" s="1"/>
  <c r="D22" i="2" s="1"/>
  <c r="K86" i="7"/>
  <c r="G54" i="11"/>
  <c r="I191" i="1"/>
  <c r="I194" i="1" s="1"/>
  <c r="G170" i="7"/>
  <c r="P11" i="2"/>
  <c r="R11" i="2" s="1"/>
  <c r="T11" i="2" s="1"/>
  <c r="V11" i="2" s="1"/>
  <c r="W11" i="2" s="1"/>
  <c r="Q13" i="41"/>
  <c r="S13" i="41" s="1"/>
  <c r="U13" i="41" s="1"/>
  <c r="W13" i="41" s="1"/>
  <c r="E194" i="1"/>
  <c r="G194" i="1"/>
  <c r="O186" i="1"/>
  <c r="O187" i="1"/>
  <c r="O37" i="1"/>
  <c r="O185" i="1"/>
  <c r="C187" i="1"/>
  <c r="E37" i="1"/>
  <c r="K13" i="42"/>
  <c r="J13" i="42"/>
  <c r="J9" i="42"/>
  <c r="J8" i="42"/>
  <c r="B19" i="42"/>
  <c r="B15" i="42"/>
  <c r="B5" i="42"/>
  <c r="B8" i="42"/>
  <c r="B13" i="42"/>
  <c r="M85" i="7" l="1"/>
  <c r="M169" i="7" s="1"/>
  <c r="K169" i="7"/>
  <c r="K191" i="1"/>
  <c r="K194" i="1" s="1"/>
  <c r="K54" i="11"/>
  <c r="N85" i="7"/>
  <c r="Q85" i="7" s="1"/>
  <c r="N78" i="7"/>
  <c r="M162" i="7"/>
  <c r="N82" i="7"/>
  <c r="M166" i="7"/>
  <c r="N76" i="7"/>
  <c r="M86" i="7"/>
  <c r="M160" i="7"/>
  <c r="N77" i="7"/>
  <c r="M161" i="7"/>
  <c r="N80" i="7"/>
  <c r="M164" i="7"/>
  <c r="N81" i="7"/>
  <c r="M165" i="7"/>
  <c r="O119" i="7"/>
  <c r="M122" i="7"/>
  <c r="G37" i="1"/>
  <c r="G39" i="1" s="1"/>
  <c r="E187" i="1"/>
  <c r="E39" i="1"/>
  <c r="K9" i="42"/>
  <c r="J4" i="42"/>
  <c r="J10" i="42"/>
  <c r="K10" i="42"/>
  <c r="K4" i="42"/>
  <c r="C15" i="42"/>
  <c r="C19" i="42"/>
  <c r="O83" i="7" l="1"/>
  <c r="Q119" i="7"/>
  <c r="O122" i="7"/>
  <c r="Q80" i="7"/>
  <c r="N164" i="7"/>
  <c r="Q82" i="7"/>
  <c r="N166" i="7"/>
  <c r="Q76" i="7"/>
  <c r="N160" i="7"/>
  <c r="Q81" i="7"/>
  <c r="N165" i="7"/>
  <c r="Q77" i="7"/>
  <c r="N161" i="7"/>
  <c r="Q78" i="7"/>
  <c r="N162" i="7"/>
  <c r="G187" i="1"/>
  <c r="I37" i="1"/>
  <c r="J14" i="42"/>
  <c r="J18" i="42" s="1"/>
  <c r="J22" i="42" s="1"/>
  <c r="K14" i="42"/>
  <c r="C13" i="42"/>
  <c r="C10" i="42" s="1"/>
  <c r="C7" i="42"/>
  <c r="B4" i="42"/>
  <c r="B10" i="42"/>
  <c r="C6" i="42"/>
  <c r="O158" i="5"/>
  <c r="C158" i="5"/>
  <c r="C120" i="5"/>
  <c r="E120" i="5" s="1"/>
  <c r="G120" i="5" s="1"/>
  <c r="I120" i="5" s="1"/>
  <c r="K120" i="5" s="1"/>
  <c r="O155" i="5"/>
  <c r="C45" i="32"/>
  <c r="C155" i="5"/>
  <c r="K37" i="1" l="1"/>
  <c r="K187" i="1" s="1"/>
  <c r="I187" i="1"/>
  <c r="O86" i="7"/>
  <c r="O167" i="7"/>
  <c r="O169" i="7" s="1"/>
  <c r="N83" i="7"/>
  <c r="I39" i="1"/>
  <c r="E20" i="2"/>
  <c r="E19" i="2" s="1"/>
  <c r="D22" i="41"/>
  <c r="G155" i="5"/>
  <c r="I155" i="5" s="1"/>
  <c r="K155" i="5" s="1"/>
  <c r="B14" i="42"/>
  <c r="E158" i="5"/>
  <c r="B17" i="2"/>
  <c r="C84" i="32"/>
  <c r="G45" i="32"/>
  <c r="I45" i="32" s="1"/>
  <c r="K45" i="32" s="1"/>
  <c r="C4" i="42"/>
  <c r="C14" i="42" s="1"/>
  <c r="C18" i="42" s="1"/>
  <c r="C22" i="42" s="1"/>
  <c r="K18" i="42"/>
  <c r="K22" i="42" s="1"/>
  <c r="C31" i="5"/>
  <c r="E31" i="5" s="1"/>
  <c r="C33" i="5"/>
  <c r="K39" i="1" l="1"/>
  <c r="L45" i="32"/>
  <c r="L48" i="32" s="1"/>
  <c r="J22" i="41"/>
  <c r="K20" i="2"/>
  <c r="K48" i="32"/>
  <c r="K84" i="32"/>
  <c r="N86" i="7"/>
  <c r="Q83" i="7"/>
  <c r="I48" i="32"/>
  <c r="I84" i="32"/>
  <c r="H22" i="41"/>
  <c r="I20" i="2"/>
  <c r="I19" i="2" s="1"/>
  <c r="H16" i="42"/>
  <c r="F18" i="41"/>
  <c r="G16" i="2"/>
  <c r="G31" i="5"/>
  <c r="I31" i="5" s="1"/>
  <c r="I16" i="5" s="1"/>
  <c r="G48" i="32"/>
  <c r="G84" i="32"/>
  <c r="G20" i="2"/>
  <c r="G19" i="2" s="1"/>
  <c r="F22" i="41"/>
  <c r="E17" i="2"/>
  <c r="G158" i="5"/>
  <c r="I158" i="5" s="1"/>
  <c r="K158" i="5" s="1"/>
  <c r="D19" i="41"/>
  <c r="E48" i="32"/>
  <c r="E156" i="5"/>
  <c r="E84" i="32"/>
  <c r="B18" i="42"/>
  <c r="B22" i="42" s="1"/>
  <c r="B23" i="42"/>
  <c r="C23" i="42"/>
  <c r="K7" i="10"/>
  <c r="K5" i="10" s="1"/>
  <c r="C7" i="10"/>
  <c r="C5" i="10" s="1"/>
  <c r="J21" i="41" l="1"/>
  <c r="M45" i="32"/>
  <c r="M48" i="32" s="1"/>
  <c r="K19" i="2"/>
  <c r="W19" i="2" s="1"/>
  <c r="W20" i="2"/>
  <c r="J19" i="41"/>
  <c r="K19" i="41" s="1"/>
  <c r="K17" i="2"/>
  <c r="W17" i="2" s="1"/>
  <c r="I4" i="5"/>
  <c r="K31" i="5"/>
  <c r="H21" i="41"/>
  <c r="I17" i="2"/>
  <c r="H19" i="41"/>
  <c r="I156" i="5"/>
  <c r="K156" i="5" s="1"/>
  <c r="D17" i="41"/>
  <c r="E15" i="2"/>
  <c r="P7" i="2"/>
  <c r="R7" i="2" s="1"/>
  <c r="T7" i="2" s="1"/>
  <c r="V7" i="2" s="1"/>
  <c r="W7" i="2" s="1"/>
  <c r="Q9" i="41"/>
  <c r="S9" i="41" s="1"/>
  <c r="U9" i="41" s="1"/>
  <c r="W9" i="41" s="1"/>
  <c r="F21" i="41"/>
  <c r="G156" i="5"/>
  <c r="G17" i="2"/>
  <c r="F19" i="41"/>
  <c r="D163" i="5"/>
  <c r="O31" i="5"/>
  <c r="E153" i="5"/>
  <c r="E145" i="5" s="1"/>
  <c r="E91" i="29"/>
  <c r="F91" i="29"/>
  <c r="F90" i="29"/>
  <c r="K16" i="5" l="1"/>
  <c r="K4" i="5" s="1"/>
  <c r="J17" i="41"/>
  <c r="K15" i="2"/>
  <c r="W15" i="2" s="1"/>
  <c r="K153" i="5"/>
  <c r="H17" i="41"/>
  <c r="I15" i="2"/>
  <c r="I153" i="5"/>
  <c r="E144" i="5"/>
  <c r="F17" i="41"/>
  <c r="G15" i="2"/>
  <c r="G153" i="5"/>
  <c r="G145" i="5" s="1"/>
  <c r="L120" i="5"/>
  <c r="O120" i="5" s="1"/>
  <c r="L124" i="5"/>
  <c r="O124" i="5" s="1"/>
  <c r="C124" i="5"/>
  <c r="E124" i="5" s="1"/>
  <c r="M78" i="5"/>
  <c r="M69" i="5" s="1"/>
  <c r="C78" i="5"/>
  <c r="O76" i="32"/>
  <c r="O77" i="32"/>
  <c r="M78" i="32"/>
  <c r="O78" i="32" s="1"/>
  <c r="M79" i="32"/>
  <c r="O75" i="32"/>
  <c r="L80" i="32"/>
  <c r="N80" i="32"/>
  <c r="C80" i="32"/>
  <c r="L86" i="32"/>
  <c r="L13" i="41" l="1"/>
  <c r="K13" i="41" s="1"/>
  <c r="O69" i="5"/>
  <c r="E140" i="5"/>
  <c r="E139" i="5" s="1"/>
  <c r="G144" i="5"/>
  <c r="G124" i="5"/>
  <c r="I124" i="5" s="1"/>
  <c r="K124" i="5" s="1"/>
  <c r="O80" i="32"/>
  <c r="O78" i="5"/>
  <c r="M86" i="32"/>
  <c r="O79" i="32"/>
  <c r="E137" i="29"/>
  <c r="D136" i="29"/>
  <c r="D138" i="29" s="1"/>
  <c r="C136" i="29"/>
  <c r="C138" i="29" s="1"/>
  <c r="E135" i="29"/>
  <c r="E134" i="29"/>
  <c r="E133" i="29"/>
  <c r="E132" i="29"/>
  <c r="E131" i="29"/>
  <c r="E130" i="29"/>
  <c r="E129" i="29"/>
  <c r="E128" i="29"/>
  <c r="D125" i="29"/>
  <c r="C125" i="29"/>
  <c r="E124" i="29"/>
  <c r="E122" i="29"/>
  <c r="E121" i="29"/>
  <c r="E120" i="29"/>
  <c r="E119" i="29"/>
  <c r="E118" i="29"/>
  <c r="E117" i="29"/>
  <c r="E116" i="29"/>
  <c r="E137" i="5" l="1"/>
  <c r="E129" i="5" s="1"/>
  <c r="E128" i="5" s="1"/>
  <c r="D14" i="41" s="1"/>
  <c r="F14" i="41" s="1"/>
  <c r="H14" i="41" s="1"/>
  <c r="J14" i="41" s="1"/>
  <c r="G140" i="5"/>
  <c r="G139" i="5" s="1"/>
  <c r="G137" i="5" s="1"/>
  <c r="G129" i="5" s="1"/>
  <c r="G128" i="5" s="1"/>
  <c r="L192" i="1"/>
  <c r="O192" i="1" s="1"/>
  <c r="E125" i="29"/>
  <c r="E136" i="29"/>
  <c r="E138" i="29" s="1"/>
  <c r="F110" i="29"/>
  <c r="E110" i="29"/>
  <c r="D109" i="29"/>
  <c r="D111" i="29" s="1"/>
  <c r="F111" i="29" s="1"/>
  <c r="C109" i="29"/>
  <c r="C111" i="29" s="1"/>
  <c r="F108" i="29"/>
  <c r="E108" i="29"/>
  <c r="F107" i="29"/>
  <c r="E107" i="29"/>
  <c r="F106" i="29"/>
  <c r="E106" i="29"/>
  <c r="F105" i="29"/>
  <c r="E105" i="29"/>
  <c r="F104" i="29"/>
  <c r="E104" i="29"/>
  <c r="F103" i="29"/>
  <c r="E103" i="29"/>
  <c r="F102" i="29"/>
  <c r="E102" i="29"/>
  <c r="F101" i="29"/>
  <c r="E101" i="29"/>
  <c r="F100" i="29"/>
  <c r="F99" i="29"/>
  <c r="D98" i="29"/>
  <c r="C98" i="29"/>
  <c r="F97" i="29"/>
  <c r="E97" i="29"/>
  <c r="F96" i="29"/>
  <c r="F95" i="29"/>
  <c r="E95" i="29"/>
  <c r="F94" i="29"/>
  <c r="E94" i="29"/>
  <c r="F93" i="29"/>
  <c r="E93" i="29"/>
  <c r="F92" i="29"/>
  <c r="E92" i="29"/>
  <c r="F89" i="29"/>
  <c r="E89" i="29"/>
  <c r="F88" i="29"/>
  <c r="F82" i="29"/>
  <c r="E81" i="29"/>
  <c r="E83" i="29" s="1"/>
  <c r="D81" i="29"/>
  <c r="D83" i="29" s="1"/>
  <c r="C81" i="29"/>
  <c r="C83" i="29" s="1"/>
  <c r="F80" i="29"/>
  <c r="F79" i="29"/>
  <c r="F78" i="29"/>
  <c r="F77" i="29"/>
  <c r="F76" i="29"/>
  <c r="F75" i="29"/>
  <c r="F74" i="29"/>
  <c r="F73" i="29"/>
  <c r="F72" i="29"/>
  <c r="F71" i="29"/>
  <c r="E70" i="29"/>
  <c r="D70" i="29"/>
  <c r="C70" i="29"/>
  <c r="F69" i="29"/>
  <c r="F68" i="29"/>
  <c r="F67" i="29"/>
  <c r="F66" i="29"/>
  <c r="F65" i="29"/>
  <c r="F64" i="29"/>
  <c r="F63" i="29"/>
  <c r="F62" i="29"/>
  <c r="F61" i="29"/>
  <c r="F60" i="29"/>
  <c r="J12" i="41" l="1"/>
  <c r="J16" i="41" s="1"/>
  <c r="J20" i="41" s="1"/>
  <c r="J24" i="41" s="1"/>
  <c r="H12" i="41"/>
  <c r="H16" i="41" s="1"/>
  <c r="H20" i="41" s="1"/>
  <c r="H24" i="41" s="1"/>
  <c r="E12" i="2"/>
  <c r="G12" i="2" s="1"/>
  <c r="I12" i="2" s="1"/>
  <c r="F12" i="41"/>
  <c r="F83" i="29"/>
  <c r="F70" i="29"/>
  <c r="E98" i="29"/>
  <c r="F98" i="29" s="1"/>
  <c r="E109" i="29"/>
  <c r="F109" i="29" s="1"/>
  <c r="F81" i="29"/>
  <c r="I10" i="2" l="1"/>
  <c r="I14" i="2" s="1"/>
  <c r="I18" i="2" s="1"/>
  <c r="I22" i="2" s="1"/>
  <c r="K12" i="2"/>
  <c r="E10" i="2"/>
  <c r="G10" i="2"/>
  <c r="F54" i="29"/>
  <c r="E53" i="29"/>
  <c r="E55" i="29" s="1"/>
  <c r="D53" i="29"/>
  <c r="D55" i="29" s="1"/>
  <c r="C53" i="29"/>
  <c r="C55" i="29" s="1"/>
  <c r="F52" i="29"/>
  <c r="F51" i="29"/>
  <c r="F50" i="29"/>
  <c r="F49" i="29"/>
  <c r="F48" i="29"/>
  <c r="F47" i="29"/>
  <c r="F46" i="29"/>
  <c r="F45" i="29"/>
  <c r="F44" i="29"/>
  <c r="F43" i="29"/>
  <c r="D42" i="29"/>
  <c r="F41" i="29"/>
  <c r="F40" i="29"/>
  <c r="F39" i="29"/>
  <c r="F38" i="29"/>
  <c r="F37" i="29"/>
  <c r="F36" i="29"/>
  <c r="F35" i="29"/>
  <c r="F34" i="29"/>
  <c r="F33" i="29"/>
  <c r="C42" i="29"/>
  <c r="K10" i="2" l="1"/>
  <c r="W12" i="2"/>
  <c r="F55" i="29"/>
  <c r="E32" i="29"/>
  <c r="F53" i="29"/>
  <c r="K14" i="2" l="1"/>
  <c r="E42" i="29"/>
  <c r="C61" i="5" s="1"/>
  <c r="F32" i="29"/>
  <c r="F42" i="29" s="1"/>
  <c r="K18" i="2" l="1"/>
  <c r="E61" i="5"/>
  <c r="E53" i="5" s="1"/>
  <c r="E48" i="5" s="1"/>
  <c r="M13" i="5"/>
  <c r="N25" i="43"/>
  <c r="M25" i="43"/>
  <c r="L25" i="43"/>
  <c r="K25" i="43"/>
  <c r="J25" i="43"/>
  <c r="I25" i="43"/>
  <c r="H25" i="43"/>
  <c r="G25" i="43"/>
  <c r="F25" i="43"/>
  <c r="E25" i="43"/>
  <c r="D25" i="43"/>
  <c r="C25" i="43"/>
  <c r="O24" i="43"/>
  <c r="O23" i="43"/>
  <c r="O21" i="43"/>
  <c r="O20" i="43"/>
  <c r="O18" i="43"/>
  <c r="O17" i="43"/>
  <c r="O16" i="43"/>
  <c r="O13" i="43"/>
  <c r="O10" i="43"/>
  <c r="O9" i="43"/>
  <c r="O8" i="43"/>
  <c r="K22" i="2" l="1"/>
  <c r="M61" i="5"/>
  <c r="G61" i="5"/>
  <c r="O25" i="43"/>
  <c r="C22" i="44"/>
  <c r="D22" i="44"/>
  <c r="E22" i="44"/>
  <c r="E11" i="44"/>
  <c r="D11" i="44"/>
  <c r="C11" i="44"/>
  <c r="B11" i="44"/>
  <c r="B30" i="44" s="1"/>
  <c r="E10" i="44"/>
  <c r="D10" i="44"/>
  <c r="C10" i="44"/>
  <c r="B10" i="44"/>
  <c r="E53" i="12"/>
  <c r="F53" i="12"/>
  <c r="G53" i="12"/>
  <c r="H53" i="12"/>
  <c r="I53" i="12"/>
  <c r="J53" i="12"/>
  <c r="D53" i="12"/>
  <c r="L118" i="5"/>
  <c r="O118" i="5" s="1"/>
  <c r="G53" i="5" l="1"/>
  <c r="G48" i="5" s="1"/>
  <c r="I61" i="5"/>
  <c r="C30" i="44"/>
  <c r="O61" i="5"/>
  <c r="E30" i="44"/>
  <c r="D30" i="44"/>
  <c r="I53" i="5" l="1"/>
  <c r="K61" i="5"/>
  <c r="K53" i="5" s="1"/>
  <c r="F5" i="29"/>
  <c r="J5" i="29" s="1"/>
  <c r="F6" i="29"/>
  <c r="J6" i="29" s="1"/>
  <c r="G7" i="29"/>
  <c r="H7" i="29" s="1"/>
  <c r="J8" i="29"/>
  <c r="G9" i="29"/>
  <c r="H9" i="29" s="1"/>
  <c r="C10" i="29"/>
  <c r="F10" i="29"/>
  <c r="J10" i="29" s="1"/>
  <c r="C11" i="29"/>
  <c r="J11" i="29"/>
  <c r="G12" i="29"/>
  <c r="H12" i="29" s="1"/>
  <c r="E13" i="29"/>
  <c r="F13" i="29"/>
  <c r="J14" i="29"/>
  <c r="D15" i="29"/>
  <c r="E15" i="29"/>
  <c r="D16" i="29"/>
  <c r="D26" i="29" s="1"/>
  <c r="E16" i="29"/>
  <c r="E26" i="29" s="1"/>
  <c r="F16" i="29"/>
  <c r="G16" i="29"/>
  <c r="E17" i="29"/>
  <c r="F17" i="29"/>
  <c r="G18" i="29"/>
  <c r="H18" i="29" s="1"/>
  <c r="G19" i="29"/>
  <c r="H19" i="29" s="1"/>
  <c r="G20" i="29"/>
  <c r="H20" i="29" s="1"/>
  <c r="G21" i="29"/>
  <c r="H21" i="29" s="1"/>
  <c r="G22" i="29"/>
  <c r="H22" i="29" s="1"/>
  <c r="G23" i="29"/>
  <c r="H23" i="29" s="1"/>
  <c r="G24" i="29"/>
  <c r="H24" i="29" s="1"/>
  <c r="F25" i="29"/>
  <c r="J25" i="29" s="1"/>
  <c r="C26" i="29"/>
  <c r="K3" i="5" l="1"/>
  <c r="I3" i="5"/>
  <c r="J21" i="29"/>
  <c r="J24" i="29"/>
  <c r="J16" i="29"/>
  <c r="J20" i="29"/>
  <c r="J23" i="29"/>
  <c r="J19" i="29"/>
  <c r="F26" i="29"/>
  <c r="C15" i="29"/>
  <c r="J7" i="29"/>
  <c r="J22" i="29"/>
  <c r="J18" i="29"/>
  <c r="J17" i="29"/>
  <c r="F15" i="29"/>
  <c r="J13" i="29"/>
  <c r="J12" i="29"/>
  <c r="J9" i="29"/>
  <c r="H15" i="29"/>
  <c r="H26" i="29"/>
  <c r="G26" i="29"/>
  <c r="G15" i="29"/>
  <c r="D21" i="42"/>
  <c r="F21" i="42" s="1"/>
  <c r="H21" i="42" s="1"/>
  <c r="D16" i="42"/>
  <c r="F16" i="42" s="1"/>
  <c r="B23" i="41"/>
  <c r="B18" i="41"/>
  <c r="M13" i="41"/>
  <c r="M14" i="41"/>
  <c r="M15" i="41"/>
  <c r="M19" i="41"/>
  <c r="L22" i="41"/>
  <c r="K22" i="41" s="1"/>
  <c r="M22" i="41"/>
  <c r="L23" i="41"/>
  <c r="K23" i="41" s="1"/>
  <c r="M23" i="41"/>
  <c r="M8" i="41"/>
  <c r="AA19" i="41" l="1"/>
  <c r="AA23" i="41"/>
  <c r="J15" i="29"/>
  <c r="J26" i="29"/>
  <c r="L21" i="41"/>
  <c r="K21" i="41" s="1"/>
  <c r="M21" i="41"/>
  <c r="M12" i="41"/>
  <c r="D17" i="42"/>
  <c r="F17" i="42" s="1"/>
  <c r="H17" i="42" s="1"/>
  <c r="C49" i="32"/>
  <c r="E49" i="32" s="1"/>
  <c r="C163" i="7"/>
  <c r="B16" i="2"/>
  <c r="P169" i="7"/>
  <c r="O165" i="6"/>
  <c r="P165" i="6"/>
  <c r="C165" i="6"/>
  <c r="O152" i="6"/>
  <c r="P152" i="6"/>
  <c r="C152" i="6"/>
  <c r="N139" i="6"/>
  <c r="N87" i="6" s="1"/>
  <c r="O139" i="6"/>
  <c r="C139" i="6"/>
  <c r="O126" i="6"/>
  <c r="P126" i="6"/>
  <c r="Q126" i="6"/>
  <c r="R126" i="6"/>
  <c r="C126" i="6"/>
  <c r="O113" i="6"/>
  <c r="P113" i="6"/>
  <c r="C113" i="6"/>
  <c r="O100" i="6"/>
  <c r="P100" i="6"/>
  <c r="C100" i="6"/>
  <c r="P87" i="6"/>
  <c r="Q80" i="6"/>
  <c r="R80" i="6"/>
  <c r="O74" i="6"/>
  <c r="P74" i="6"/>
  <c r="C74" i="6"/>
  <c r="O61" i="6"/>
  <c r="P61" i="6"/>
  <c r="C61" i="6"/>
  <c r="O48" i="6"/>
  <c r="P48" i="6"/>
  <c r="Q48" i="6"/>
  <c r="R48" i="6"/>
  <c r="C48" i="6"/>
  <c r="O35" i="6"/>
  <c r="P35" i="6"/>
  <c r="C35" i="6"/>
  <c r="O22" i="6"/>
  <c r="C22" i="6"/>
  <c r="C9" i="6"/>
  <c r="P183" i="6"/>
  <c r="O183" i="6"/>
  <c r="N183" i="6"/>
  <c r="C183" i="6"/>
  <c r="O15" i="2" s="1"/>
  <c r="I26" i="17" s="1"/>
  <c r="P181" i="6"/>
  <c r="O181" i="6"/>
  <c r="N181" i="6"/>
  <c r="C181" i="6"/>
  <c r="P180" i="6"/>
  <c r="O180" i="6"/>
  <c r="N180" i="6"/>
  <c r="C180" i="6"/>
  <c r="P179" i="6"/>
  <c r="O179" i="6"/>
  <c r="N179" i="6"/>
  <c r="C179" i="6"/>
  <c r="P177" i="6"/>
  <c r="O177" i="6"/>
  <c r="C177" i="6"/>
  <c r="P176" i="6"/>
  <c r="O176" i="6"/>
  <c r="N176" i="6"/>
  <c r="C176" i="6"/>
  <c r="P175" i="6"/>
  <c r="O175" i="6"/>
  <c r="N175" i="6"/>
  <c r="C175" i="6"/>
  <c r="P174" i="6"/>
  <c r="O174" i="6"/>
  <c r="N174" i="6"/>
  <c r="C174" i="6"/>
  <c r="P173" i="6"/>
  <c r="O173" i="6"/>
  <c r="N173" i="6"/>
  <c r="C173" i="6"/>
  <c r="P169" i="6"/>
  <c r="O169" i="6"/>
  <c r="C169" i="6"/>
  <c r="P156" i="6"/>
  <c r="O156" i="6"/>
  <c r="C156" i="6"/>
  <c r="P143" i="6"/>
  <c r="O143" i="6"/>
  <c r="N143" i="6"/>
  <c r="N91" i="6" s="1"/>
  <c r="C143" i="6"/>
  <c r="C145" i="6" s="1"/>
  <c r="P139" i="6"/>
  <c r="P145" i="6" s="1"/>
  <c r="P130" i="6"/>
  <c r="O130" i="6"/>
  <c r="C130" i="6"/>
  <c r="P117" i="6"/>
  <c r="O117" i="6"/>
  <c r="C117" i="6"/>
  <c r="P104" i="6"/>
  <c r="O104" i="6"/>
  <c r="C104" i="6"/>
  <c r="P91" i="6"/>
  <c r="P78" i="6"/>
  <c r="O78" i="6"/>
  <c r="C78" i="6"/>
  <c r="P65" i="6"/>
  <c r="O65" i="6"/>
  <c r="C65" i="6"/>
  <c r="P52" i="6"/>
  <c r="O52" i="6"/>
  <c r="C52" i="6"/>
  <c r="P39" i="6"/>
  <c r="O39" i="6"/>
  <c r="C39" i="6"/>
  <c r="P26" i="6"/>
  <c r="O26" i="6"/>
  <c r="C26" i="6"/>
  <c r="P22" i="6"/>
  <c r="P13" i="6"/>
  <c r="O13" i="6"/>
  <c r="C13" i="6"/>
  <c r="P9" i="6"/>
  <c r="O9" i="6"/>
  <c r="P167" i="7"/>
  <c r="P166" i="7"/>
  <c r="C166" i="7"/>
  <c r="P165" i="7"/>
  <c r="M10" i="41" s="1"/>
  <c r="C165" i="7"/>
  <c r="P164" i="7"/>
  <c r="C164" i="7"/>
  <c r="P163" i="7"/>
  <c r="M9" i="41" s="1"/>
  <c r="P162" i="7"/>
  <c r="C162" i="7"/>
  <c r="P161" i="7"/>
  <c r="C161" i="7"/>
  <c r="P160" i="7"/>
  <c r="C160" i="7"/>
  <c r="P26" i="7"/>
  <c r="O26" i="7"/>
  <c r="C26" i="7"/>
  <c r="P15" i="6" l="1"/>
  <c r="Z17" i="41"/>
  <c r="Y17" i="41"/>
  <c r="X17" i="41" s="1"/>
  <c r="O28" i="6"/>
  <c r="E50" i="32"/>
  <c r="G49" i="32"/>
  <c r="P28" i="6"/>
  <c r="O15" i="6"/>
  <c r="S126" i="6"/>
  <c r="S26" i="6"/>
  <c r="S52" i="6"/>
  <c r="S65" i="6"/>
  <c r="E184" i="6"/>
  <c r="C182" i="6"/>
  <c r="S104" i="6"/>
  <c r="S117" i="6"/>
  <c r="S130" i="6"/>
  <c r="S22" i="6"/>
  <c r="S35" i="6"/>
  <c r="O91" i="6"/>
  <c r="S143" i="6"/>
  <c r="S156" i="6"/>
  <c r="S169" i="6"/>
  <c r="S175" i="6"/>
  <c r="S176" i="6"/>
  <c r="S177" i="6"/>
  <c r="Q50" i="7"/>
  <c r="Q62" i="7"/>
  <c r="Q74" i="7"/>
  <c r="Q86" i="7"/>
  <c r="Q98" i="7"/>
  <c r="Q122" i="7"/>
  <c r="Q134" i="7"/>
  <c r="Q146" i="7"/>
  <c r="Q158" i="7"/>
  <c r="Q160" i="7"/>
  <c r="S179" i="6"/>
  <c r="S180" i="6"/>
  <c r="S181" i="6"/>
  <c r="S174" i="6"/>
  <c r="S173" i="6"/>
  <c r="P168" i="7"/>
  <c r="M17" i="41" s="1"/>
  <c r="Q161" i="7"/>
  <c r="Q162" i="7"/>
  <c r="S39" i="6"/>
  <c r="S78" i="6"/>
  <c r="E90" i="32"/>
  <c r="O170" i="7"/>
  <c r="S183" i="6"/>
  <c r="S9" i="6"/>
  <c r="S13" i="6"/>
  <c r="P80" i="6"/>
  <c r="S48" i="6"/>
  <c r="S61" i="6"/>
  <c r="S74" i="6"/>
  <c r="S113" i="6"/>
  <c r="Q163" i="7"/>
  <c r="Q164" i="7"/>
  <c r="Q165" i="7"/>
  <c r="Q166" i="7"/>
  <c r="S139" i="6"/>
  <c r="S152" i="6"/>
  <c r="S165" i="6"/>
  <c r="N178" i="6"/>
  <c r="C54" i="6"/>
  <c r="P41" i="6"/>
  <c r="O145" i="6"/>
  <c r="C28" i="6"/>
  <c r="O54" i="6"/>
  <c r="P67" i="6"/>
  <c r="P93" i="6"/>
  <c r="P106" i="6"/>
  <c r="P119" i="6"/>
  <c r="P132" i="6"/>
  <c r="P158" i="6"/>
  <c r="P171" i="6"/>
  <c r="C15" i="6"/>
  <c r="C41" i="6"/>
  <c r="O41" i="6"/>
  <c r="P54" i="6"/>
  <c r="C67" i="6"/>
  <c r="O67" i="6"/>
  <c r="C80" i="6"/>
  <c r="O80" i="6"/>
  <c r="C93" i="6"/>
  <c r="C106" i="6"/>
  <c r="O106" i="6"/>
  <c r="C119" i="6"/>
  <c r="O119" i="6"/>
  <c r="C132" i="6"/>
  <c r="O132" i="6"/>
  <c r="N145" i="6"/>
  <c r="N93" i="6" s="1"/>
  <c r="C158" i="6"/>
  <c r="O158" i="6"/>
  <c r="C171" i="6"/>
  <c r="O171" i="6"/>
  <c r="C170" i="7"/>
  <c r="O178" i="6"/>
  <c r="P182" i="6"/>
  <c r="O17" i="41"/>
  <c r="L15" i="42"/>
  <c r="B19" i="41"/>
  <c r="C178" i="6"/>
  <c r="P178" i="6"/>
  <c r="M49" i="32" l="1"/>
  <c r="O49" i="32" s="1"/>
  <c r="I49" i="32"/>
  <c r="K49" i="32" s="1"/>
  <c r="P13" i="2"/>
  <c r="R13" i="2" s="1"/>
  <c r="T13" i="2" s="1"/>
  <c r="Q15" i="41"/>
  <c r="S15" i="41" s="1"/>
  <c r="U15" i="41" s="1"/>
  <c r="S28" i="6"/>
  <c r="O182" i="6"/>
  <c r="O184" i="6" s="1"/>
  <c r="S15" i="6"/>
  <c r="E91" i="32"/>
  <c r="G90" i="32"/>
  <c r="G50" i="32"/>
  <c r="AB17" i="41"/>
  <c r="S145" i="6"/>
  <c r="N182" i="6"/>
  <c r="O93" i="6"/>
  <c r="C184" i="6"/>
  <c r="P184" i="6"/>
  <c r="S132" i="6"/>
  <c r="S41" i="6"/>
  <c r="M18" i="41"/>
  <c r="S171" i="6"/>
  <c r="S106" i="6"/>
  <c r="S100" i="6"/>
  <c r="S119" i="6"/>
  <c r="S67" i="6"/>
  <c r="S87" i="6"/>
  <c r="S80" i="6"/>
  <c r="S178" i="6"/>
  <c r="S54" i="6"/>
  <c r="S158" i="6"/>
  <c r="AA21" i="41"/>
  <c r="AA22" i="41"/>
  <c r="B22" i="41"/>
  <c r="D20" i="42"/>
  <c r="F20" i="42" s="1"/>
  <c r="H20" i="42" s="1"/>
  <c r="H19" i="42" s="1"/>
  <c r="N16" i="5"/>
  <c r="O26" i="17"/>
  <c r="O21" i="17"/>
  <c r="O22" i="17"/>
  <c r="O23" i="17"/>
  <c r="O24" i="17"/>
  <c r="O25" i="17"/>
  <c r="L197" i="1"/>
  <c r="N15" i="42" s="1"/>
  <c r="P15" i="42" s="1"/>
  <c r="M197" i="1"/>
  <c r="Q18" i="2" s="1"/>
  <c r="Q22" i="2" s="1"/>
  <c r="O13" i="17"/>
  <c r="B13" i="17"/>
  <c r="U12" i="41" l="1"/>
  <c r="W15" i="41"/>
  <c r="K50" i="32"/>
  <c r="K90" i="32"/>
  <c r="K91" i="32" s="1"/>
  <c r="T10" i="2"/>
  <c r="V13" i="2"/>
  <c r="I90" i="32"/>
  <c r="I91" i="32" s="1"/>
  <c r="I50" i="32"/>
  <c r="S182" i="6"/>
  <c r="P10" i="2"/>
  <c r="N184" i="6"/>
  <c r="S184" i="6" s="1"/>
  <c r="G91" i="32"/>
  <c r="S12" i="41"/>
  <c r="S91" i="6"/>
  <c r="S93" i="6"/>
  <c r="D19" i="42"/>
  <c r="F19" i="42"/>
  <c r="B21" i="41"/>
  <c r="D21" i="41"/>
  <c r="L90" i="32"/>
  <c r="N90" i="32"/>
  <c r="Z15" i="41" s="1"/>
  <c r="C90" i="32"/>
  <c r="L20" i="10"/>
  <c r="C20" i="10"/>
  <c r="L42" i="11"/>
  <c r="C23" i="11"/>
  <c r="C123" i="5" s="1"/>
  <c r="E123" i="5" s="1"/>
  <c r="E22" i="12"/>
  <c r="F15" i="12"/>
  <c r="G15" i="12"/>
  <c r="H15" i="12"/>
  <c r="I15" i="12"/>
  <c r="J15" i="12"/>
  <c r="N197" i="1"/>
  <c r="C197" i="1"/>
  <c r="V10" i="2" l="1"/>
  <c r="W10" i="2" s="1"/>
  <c r="W13" i="2"/>
  <c r="W12" i="41"/>
  <c r="O23" i="11"/>
  <c r="O197" i="1"/>
  <c r="E121" i="5"/>
  <c r="E119" i="5" s="1"/>
  <c r="G123" i="5"/>
  <c r="O90" i="32"/>
  <c r="M20" i="10"/>
  <c r="Y15" i="41"/>
  <c r="X15" i="41" s="1"/>
  <c r="O193" i="1"/>
  <c r="C193" i="1"/>
  <c r="L13" i="42" s="1"/>
  <c r="L123" i="5"/>
  <c r="B20" i="2"/>
  <c r="H29" i="29"/>
  <c r="G121" i="5" l="1"/>
  <c r="G119" i="5" s="1"/>
  <c r="I123" i="5"/>
  <c r="G117" i="5"/>
  <c r="E117" i="5"/>
  <c r="M13" i="2"/>
  <c r="AB15" i="41"/>
  <c r="L191" i="1"/>
  <c r="O191" i="1" s="1"/>
  <c r="O42" i="11"/>
  <c r="P15" i="41"/>
  <c r="P12" i="41" s="1"/>
  <c r="D194" i="1"/>
  <c r="M13" i="42"/>
  <c r="M10" i="42" s="1"/>
  <c r="O123" i="5"/>
  <c r="O15" i="41"/>
  <c r="B14" i="17"/>
  <c r="L147" i="1"/>
  <c r="M147" i="1"/>
  <c r="N147" i="1"/>
  <c r="L134" i="1"/>
  <c r="M134" i="1"/>
  <c r="N134" i="1"/>
  <c r="L128" i="1"/>
  <c r="M128" i="1"/>
  <c r="N128" i="1"/>
  <c r="L122" i="1"/>
  <c r="M122" i="1"/>
  <c r="N122" i="1"/>
  <c r="L115" i="1"/>
  <c r="M115" i="1"/>
  <c r="N115" i="1"/>
  <c r="L109" i="1"/>
  <c r="M109" i="1"/>
  <c r="N109" i="1"/>
  <c r="L102" i="1"/>
  <c r="M102" i="1"/>
  <c r="N102" i="1"/>
  <c r="N95" i="1"/>
  <c r="L89" i="1"/>
  <c r="M89" i="1"/>
  <c r="N89" i="1"/>
  <c r="L83" i="1"/>
  <c r="M83" i="1"/>
  <c r="N83" i="1"/>
  <c r="L76" i="1"/>
  <c r="M76" i="1"/>
  <c r="N76" i="1"/>
  <c r="L70" i="1"/>
  <c r="M70" i="1"/>
  <c r="N70" i="1"/>
  <c r="L63" i="1"/>
  <c r="M63" i="1"/>
  <c r="N63" i="1"/>
  <c r="L57" i="1"/>
  <c r="M57" i="1"/>
  <c r="N57" i="1"/>
  <c r="L51" i="1"/>
  <c r="M51" i="1"/>
  <c r="N51" i="1"/>
  <c r="L45" i="1"/>
  <c r="M45" i="1"/>
  <c r="N45" i="1"/>
  <c r="L39" i="1"/>
  <c r="M39" i="1"/>
  <c r="N39" i="1"/>
  <c r="C39" i="1"/>
  <c r="L33" i="1"/>
  <c r="M33" i="1"/>
  <c r="N33" i="1"/>
  <c r="C33" i="1"/>
  <c r="L27" i="1"/>
  <c r="M27" i="1"/>
  <c r="N27" i="1"/>
  <c r="C27" i="1"/>
  <c r="L21" i="1"/>
  <c r="M21" i="1"/>
  <c r="N21" i="1"/>
  <c r="M15" i="1"/>
  <c r="N15" i="1"/>
  <c r="M9" i="1"/>
  <c r="N9" i="1"/>
  <c r="O53" i="32"/>
  <c r="O52" i="32"/>
  <c r="N92" i="32"/>
  <c r="O92" i="32" s="1"/>
  <c r="L33" i="32"/>
  <c r="M33" i="32"/>
  <c r="N33" i="32"/>
  <c r="L35" i="32"/>
  <c r="L82" i="32" s="1"/>
  <c r="N35" i="32"/>
  <c r="M73" i="32"/>
  <c r="N73" i="32"/>
  <c r="N43" i="32"/>
  <c r="C33" i="32"/>
  <c r="N10" i="32"/>
  <c r="L57" i="32"/>
  <c r="N57" i="32"/>
  <c r="C57" i="32"/>
  <c r="I121" i="5" l="1"/>
  <c r="K123" i="5"/>
  <c r="E91" i="5"/>
  <c r="E87" i="5" s="1"/>
  <c r="E84" i="5" s="1"/>
  <c r="E83" i="5" s="1"/>
  <c r="E97" i="5"/>
  <c r="G91" i="5"/>
  <c r="G87" i="5" s="1"/>
  <c r="G84" i="5" s="1"/>
  <c r="G83" i="5" s="1"/>
  <c r="G97" i="5"/>
  <c r="O147" i="1"/>
  <c r="E39" i="5"/>
  <c r="E17" i="5" s="1"/>
  <c r="E16" i="5" s="1"/>
  <c r="E5" i="5"/>
  <c r="G17" i="5"/>
  <c r="N13" i="42"/>
  <c r="P13" i="42" s="1"/>
  <c r="O21" i="1"/>
  <c r="O27" i="1"/>
  <c r="O33" i="1"/>
  <c r="O39" i="1"/>
  <c r="O63" i="1"/>
  <c r="O89" i="1"/>
  <c r="O102" i="1"/>
  <c r="O128" i="1"/>
  <c r="O57" i="1"/>
  <c r="O83" i="1"/>
  <c r="O122" i="1"/>
  <c r="L84" i="32"/>
  <c r="O33" i="32"/>
  <c r="O51" i="1"/>
  <c r="O76" i="1"/>
  <c r="O115" i="1"/>
  <c r="O43" i="32"/>
  <c r="O45" i="1"/>
  <c r="O70" i="1"/>
  <c r="O109" i="1"/>
  <c r="O134" i="1"/>
  <c r="N190" i="1"/>
  <c r="O9" i="41"/>
  <c r="L7" i="42"/>
  <c r="N7" i="42" s="1"/>
  <c r="P7" i="42" s="1"/>
  <c r="N44" i="32"/>
  <c r="N45" i="32" s="1"/>
  <c r="O45" i="32" s="1"/>
  <c r="N36" i="32"/>
  <c r="N37" i="32" s="1"/>
  <c r="N82" i="32"/>
  <c r="M35" i="32"/>
  <c r="M82" i="32" s="1"/>
  <c r="L36" i="32"/>
  <c r="M57" i="32"/>
  <c r="O57" i="32" s="1"/>
  <c r="I119" i="5" l="1"/>
  <c r="I97" i="5" s="1"/>
  <c r="I159" i="5" s="1"/>
  <c r="K121" i="5"/>
  <c r="K119" i="5" s="1"/>
  <c r="K97" i="5" s="1"/>
  <c r="K159" i="5" s="1"/>
  <c r="E4" i="5"/>
  <c r="E3" i="5" s="1"/>
  <c r="E159" i="5" s="1"/>
  <c r="G5" i="5"/>
  <c r="G16" i="5"/>
  <c r="O44" i="32"/>
  <c r="L83" i="32"/>
  <c r="O35" i="32"/>
  <c r="N83" i="32"/>
  <c r="N84" i="32"/>
  <c r="Z9" i="41" s="1"/>
  <c r="M36" i="32"/>
  <c r="O36" i="32" s="1"/>
  <c r="N46" i="32"/>
  <c r="N38" i="32"/>
  <c r="O17" i="5" l="1"/>
  <c r="L16" i="5"/>
  <c r="O82" i="32"/>
  <c r="Y7" i="41"/>
  <c r="X7" i="41" s="1"/>
  <c r="G4" i="5"/>
  <c r="G3" i="5" s="1"/>
  <c r="G159" i="5" s="1"/>
  <c r="G200" i="1" s="1"/>
  <c r="N47" i="32"/>
  <c r="O46" i="32"/>
  <c r="M37" i="32"/>
  <c r="O37" i="32" s="1"/>
  <c r="M83" i="32"/>
  <c r="O83" i="32" s="1"/>
  <c r="N85" i="32"/>
  <c r="N40" i="32"/>
  <c r="F6" i="41" l="1"/>
  <c r="F16" i="41" s="1"/>
  <c r="F20" i="41" s="1"/>
  <c r="F24" i="41" s="1"/>
  <c r="N86" i="32"/>
  <c r="O47" i="32"/>
  <c r="N48" i="32"/>
  <c r="M84" i="32"/>
  <c r="N17" i="30"/>
  <c r="Q17" i="30" l="1"/>
  <c r="Z11" i="41"/>
  <c r="O86" i="32"/>
  <c r="Y9" i="41"/>
  <c r="X9" i="41" s="1"/>
  <c r="O84" i="32"/>
  <c r="C13" i="16"/>
  <c r="AB9" i="41" l="1"/>
  <c r="C48" i="32"/>
  <c r="C25" i="32"/>
  <c r="L25" i="32"/>
  <c r="M25" i="32"/>
  <c r="N25" i="32"/>
  <c r="L17" i="32"/>
  <c r="M17" i="32"/>
  <c r="N17" i="32"/>
  <c r="C17" i="32"/>
  <c r="L10" i="32"/>
  <c r="M10" i="32"/>
  <c r="C10" i="32"/>
  <c r="L73" i="32"/>
  <c r="O73" i="32" s="1"/>
  <c r="L65" i="32"/>
  <c r="M65" i="32"/>
  <c r="N65" i="32"/>
  <c r="C65" i="32"/>
  <c r="O65" i="32" l="1"/>
  <c r="O25" i="32"/>
  <c r="O48" i="32"/>
  <c r="O10" i="32"/>
  <c r="O17" i="32"/>
  <c r="N87" i="32"/>
  <c r="L13" i="5"/>
  <c r="L4" i="5" s="1"/>
  <c r="C13" i="5"/>
  <c r="N5" i="5"/>
  <c r="N4" i="5" s="1"/>
  <c r="N3" i="5" s="1"/>
  <c r="O33" i="5" l="1"/>
  <c r="O13" i="5"/>
  <c r="S13" i="13"/>
  <c r="M94" i="1" s="1"/>
  <c r="T13" i="13"/>
  <c r="M95" i="1" l="1"/>
  <c r="M188" i="1"/>
  <c r="M79" i="11"/>
  <c r="N79" i="11"/>
  <c r="N84" i="11"/>
  <c r="N89" i="32" s="1"/>
  <c r="C84" i="11"/>
  <c r="C89" i="32" s="1"/>
  <c r="C91" i="32" s="1"/>
  <c r="N71" i="11"/>
  <c r="C71" i="11"/>
  <c r="M88" i="32"/>
  <c r="N53" i="11"/>
  <c r="C42" i="11"/>
  <c r="C191" i="1" s="1"/>
  <c r="M5" i="11"/>
  <c r="M18" i="11" s="1"/>
  <c r="N5" i="11"/>
  <c r="E5" i="11"/>
  <c r="N88" i="32" l="1"/>
  <c r="O53" i="11"/>
  <c r="M54" i="11"/>
  <c r="M85" i="11"/>
  <c r="L89" i="32"/>
  <c r="L91" i="32" s="1"/>
  <c r="L85" i="11"/>
  <c r="L54" i="11"/>
  <c r="M89" i="32"/>
  <c r="M91" i="32" s="1"/>
  <c r="L50" i="32"/>
  <c r="M50" i="32" s="1"/>
  <c r="C85" i="11"/>
  <c r="Z14" i="41"/>
  <c r="N50" i="32"/>
  <c r="N91" i="32" s="1"/>
  <c r="O79" i="11"/>
  <c r="O5" i="11"/>
  <c r="O71" i="11"/>
  <c r="O84" i="11"/>
  <c r="N54" i="11"/>
  <c r="C54" i="11"/>
  <c r="L6" i="42"/>
  <c r="N6" i="42" s="1"/>
  <c r="P6" i="42" s="1"/>
  <c r="Y8" i="41"/>
  <c r="X8" i="41" s="1"/>
  <c r="Z8" i="41"/>
  <c r="Z10" i="41"/>
  <c r="L5" i="42"/>
  <c r="N5" i="42" s="1"/>
  <c r="P5" i="42" s="1"/>
  <c r="M15" i="2"/>
  <c r="B26" i="17" s="1"/>
  <c r="O5" i="30"/>
  <c r="N159" i="5"/>
  <c r="M7" i="41" s="1"/>
  <c r="M6" i="41" s="1"/>
  <c r="M16" i="41" s="1"/>
  <c r="M20" i="41" s="1"/>
  <c r="M24" i="41" s="1"/>
  <c r="M156" i="5"/>
  <c r="C156" i="5"/>
  <c r="C192" i="1"/>
  <c r="F20" i="12"/>
  <c r="G20" i="12"/>
  <c r="H20" i="12"/>
  <c r="I20" i="12"/>
  <c r="J20" i="12"/>
  <c r="E20" i="12"/>
  <c r="E15" i="12"/>
  <c r="D20" i="12"/>
  <c r="D15" i="12"/>
  <c r="O85" i="11" l="1"/>
  <c r="Y14" i="41"/>
  <c r="X14" i="41" s="1"/>
  <c r="O89" i="32"/>
  <c r="C50" i="32"/>
  <c r="L12" i="42"/>
  <c r="N12" i="42" s="1"/>
  <c r="P12" i="42" s="1"/>
  <c r="O91" i="32"/>
  <c r="O50" i="32"/>
  <c r="O54" i="11"/>
  <c r="AB8" i="41"/>
  <c r="Z7" i="41"/>
  <c r="Z6" i="41" s="1"/>
  <c r="M5" i="2"/>
  <c r="B18" i="17" s="1"/>
  <c r="I18" i="17" s="1"/>
  <c r="O7" i="41"/>
  <c r="M6" i="2"/>
  <c r="B19" i="17" s="1"/>
  <c r="I19" i="17" s="1"/>
  <c r="O8" i="41"/>
  <c r="M12" i="2"/>
  <c r="B24" i="17" s="1"/>
  <c r="O14" i="41"/>
  <c r="C153" i="5"/>
  <c r="O25" i="30"/>
  <c r="O24" i="30" s="1"/>
  <c r="C25" i="30"/>
  <c r="C24" i="30" s="1"/>
  <c r="P29" i="30"/>
  <c r="C17" i="30"/>
  <c r="N12" i="30"/>
  <c r="C12" i="30"/>
  <c r="C6" i="30"/>
  <c r="L156" i="5"/>
  <c r="O156" i="5" s="1"/>
  <c r="C10" i="30" l="1"/>
  <c r="AB14" i="41"/>
  <c r="Q10" i="30"/>
  <c r="Q12" i="30"/>
  <c r="AB7" i="41"/>
  <c r="Q5" i="30"/>
  <c r="Q6" i="30"/>
  <c r="N24" i="30"/>
  <c r="Q24" i="30" s="1"/>
  <c r="Q25" i="30"/>
  <c r="B15" i="2"/>
  <c r="B17" i="41"/>
  <c r="L17" i="41"/>
  <c r="K17" i="41" s="1"/>
  <c r="D15" i="42"/>
  <c r="F15" i="42" s="1"/>
  <c r="H15" i="42" s="1"/>
  <c r="L153" i="5"/>
  <c r="C5" i="30"/>
  <c r="L98" i="5"/>
  <c r="C98" i="5"/>
  <c r="O29" i="30" l="1"/>
  <c r="O98" i="5"/>
  <c r="N29" i="30"/>
  <c r="C29" i="30"/>
  <c r="B12" i="17"/>
  <c r="C14" i="43" s="1"/>
  <c r="Q29" i="30" l="1"/>
  <c r="C26" i="43"/>
  <c r="F21" i="12"/>
  <c r="G21" i="12"/>
  <c r="H21" i="12"/>
  <c r="I21" i="12"/>
  <c r="J21" i="12"/>
  <c r="G22" i="12"/>
  <c r="E21" i="12"/>
  <c r="D5" i="43" l="1"/>
  <c r="D14" i="43" s="1"/>
  <c r="F22" i="12"/>
  <c r="D26" i="43" l="1"/>
  <c r="E5" i="43" s="1"/>
  <c r="E14" i="43" s="1"/>
  <c r="E26" i="43" s="1"/>
  <c r="F5" i="43" s="1"/>
  <c r="F14" i="43" s="1"/>
  <c r="F26" i="43" s="1"/>
  <c r="G5" i="43" s="1"/>
  <c r="G14" i="43" s="1"/>
  <c r="G26" i="43" s="1"/>
  <c r="H5" i="43" s="1"/>
  <c r="H14" i="43" s="1"/>
  <c r="H26" i="43" s="1"/>
  <c r="I5" i="43" s="1"/>
  <c r="I14" i="43" s="1"/>
  <c r="I26" i="43" s="1"/>
  <c r="J5" i="43" s="1"/>
  <c r="J14" i="43" s="1"/>
  <c r="J26" i="43" s="1"/>
  <c r="K5" i="43" s="1"/>
  <c r="K14" i="43" s="1"/>
  <c r="K26" i="43" s="1"/>
  <c r="L5" i="43" s="1"/>
  <c r="L14" i="43" s="1"/>
  <c r="L26" i="43" s="1"/>
  <c r="M5" i="43" s="1"/>
  <c r="M14" i="43" s="1"/>
  <c r="M26" i="43" s="1"/>
  <c r="N5" i="43" s="1"/>
  <c r="N14" i="43" s="1"/>
  <c r="N26" i="43" s="1"/>
  <c r="H22" i="12"/>
  <c r="I22" i="12" l="1"/>
  <c r="J22" i="12" l="1"/>
  <c r="M38" i="32" l="1"/>
  <c r="M85" i="32" s="1"/>
  <c r="L85" i="32" l="1"/>
  <c r="O85" i="32" s="1"/>
  <c r="S12" i="35"/>
  <c r="Y10" i="41"/>
  <c r="M40" i="32"/>
  <c r="M87" i="32" s="1"/>
  <c r="J45" i="12"/>
  <c r="J61" i="12" s="1"/>
  <c r="I45" i="12"/>
  <c r="I61" i="12" s="1"/>
  <c r="H45" i="12"/>
  <c r="H61" i="12" s="1"/>
  <c r="G45" i="12"/>
  <c r="G61" i="12" s="1"/>
  <c r="F45" i="12"/>
  <c r="F61" i="12" s="1"/>
  <c r="E45" i="12"/>
  <c r="E61" i="12" s="1"/>
  <c r="D45" i="12"/>
  <c r="C45" i="12"/>
  <c r="C61" i="12" s="1"/>
  <c r="J41" i="12"/>
  <c r="I41" i="12"/>
  <c r="H41" i="12"/>
  <c r="G41" i="12"/>
  <c r="F41" i="12"/>
  <c r="E41" i="12"/>
  <c r="D41" i="12"/>
  <c r="C41" i="12"/>
  <c r="O38" i="32" l="1"/>
  <c r="L40" i="32"/>
  <c r="M93" i="32"/>
  <c r="J7" i="10"/>
  <c r="M7" i="10" s="1"/>
  <c r="L15" i="1"/>
  <c r="O15" i="1" s="1"/>
  <c r="L9" i="1"/>
  <c r="O9" i="1" s="1"/>
  <c r="M153" i="5"/>
  <c r="O153" i="5" s="1"/>
  <c r="M145" i="5"/>
  <c r="O145" i="5" s="1"/>
  <c r="L149" i="5"/>
  <c r="N129" i="5"/>
  <c r="O40" i="32" l="1"/>
  <c r="L87" i="32"/>
  <c r="L93" i="32"/>
  <c r="O93" i="32" s="1"/>
  <c r="L144" i="5"/>
  <c r="O149" i="5"/>
  <c r="J5" i="10"/>
  <c r="L194" i="1"/>
  <c r="Y13" i="41"/>
  <c r="X13" i="41" s="1"/>
  <c r="M194" i="1"/>
  <c r="M189" i="1"/>
  <c r="K27" i="10"/>
  <c r="M144" i="5"/>
  <c r="O194" i="1" l="1"/>
  <c r="Y12" i="41"/>
  <c r="X12" i="41"/>
  <c r="L15" i="41"/>
  <c r="K15" i="41" s="1"/>
  <c r="M140" i="5"/>
  <c r="M139" i="5" s="1"/>
  <c r="L10" i="41" s="1"/>
  <c r="K10" i="41" s="1"/>
  <c r="L140" i="5"/>
  <c r="O87" i="32"/>
  <c r="O144" i="5"/>
  <c r="J27" i="10"/>
  <c r="M27" i="10" s="1"/>
  <c r="M5" i="10"/>
  <c r="M190" i="1"/>
  <c r="M198" i="1" s="1"/>
  <c r="Y11" i="41"/>
  <c r="Y6" i="41" l="1"/>
  <c r="Y16" i="41" s="1"/>
  <c r="AA15" i="41"/>
  <c r="M137" i="5"/>
  <c r="M129" i="5" s="1"/>
  <c r="M16" i="5"/>
  <c r="O140" i="5"/>
  <c r="L139" i="5"/>
  <c r="M9" i="42"/>
  <c r="M4" i="42" s="1"/>
  <c r="M14" i="42" s="1"/>
  <c r="D198" i="1"/>
  <c r="P11" i="41"/>
  <c r="P6" i="41" s="1"/>
  <c r="P16" i="41" s="1"/>
  <c r="Y20" i="41" l="1"/>
  <c r="Y24" i="41" s="1"/>
  <c r="J25" i="41"/>
  <c r="M119" i="5"/>
  <c r="M117" i="5" s="1"/>
  <c r="M97" i="5" s="1"/>
  <c r="M128" i="5"/>
  <c r="AA10" i="41"/>
  <c r="M87" i="5"/>
  <c r="M84" i="5" s="1"/>
  <c r="O139" i="5"/>
  <c r="L137" i="5"/>
  <c r="O16" i="5"/>
  <c r="D161" i="5"/>
  <c r="D201" i="1"/>
  <c r="P20" i="41"/>
  <c r="P24" i="41" s="1"/>
  <c r="C25" i="41"/>
  <c r="M18" i="42"/>
  <c r="M22" i="42" s="1"/>
  <c r="E23" i="42"/>
  <c r="C20" i="16"/>
  <c r="J20" i="16" s="1"/>
  <c r="C19" i="16"/>
  <c r="M91" i="5" l="1"/>
  <c r="M83" i="5" s="1"/>
  <c r="L8" i="41" s="1"/>
  <c r="K8" i="41" s="1"/>
  <c r="L9" i="41"/>
  <c r="K9" i="41" s="1"/>
  <c r="L14" i="41"/>
  <c r="K14" i="41" s="1"/>
  <c r="L129" i="5"/>
  <c r="O137" i="5"/>
  <c r="M5" i="5"/>
  <c r="M4" i="5" s="1"/>
  <c r="M53" i="5" s="1"/>
  <c r="M3" i="5" s="1"/>
  <c r="J19" i="16"/>
  <c r="J18" i="16" s="1"/>
  <c r="J22" i="16" s="1"/>
  <c r="M7" i="2"/>
  <c r="B20" i="17" s="1"/>
  <c r="I20" i="17" s="1"/>
  <c r="M159" i="5" l="1"/>
  <c r="L7" i="41"/>
  <c r="K7" i="41" s="1"/>
  <c r="L12" i="41"/>
  <c r="L121" i="5"/>
  <c r="O129" i="5"/>
  <c r="L6" i="41" l="1"/>
  <c r="L16" i="41" s="1"/>
  <c r="L25" i="41" s="1"/>
  <c r="L119" i="5"/>
  <c r="O121" i="5"/>
  <c r="F27" i="29"/>
  <c r="F28" i="29"/>
  <c r="L20" i="41" l="1"/>
  <c r="L24" i="41" s="1"/>
  <c r="O119" i="5"/>
  <c r="L117" i="5"/>
  <c r="F29" i="29"/>
  <c r="O117" i="5" l="1"/>
  <c r="L97" i="5"/>
  <c r="C149" i="5"/>
  <c r="O97" i="5" l="1"/>
  <c r="AA9" i="41"/>
  <c r="O105" i="5"/>
  <c r="B21" i="2"/>
  <c r="L87" i="5" l="1"/>
  <c r="O91" i="5"/>
  <c r="B15" i="17"/>
  <c r="B19" i="2"/>
  <c r="L84" i="5" l="1"/>
  <c r="O87" i="5"/>
  <c r="C7" i="4"/>
  <c r="C17" i="4" s="1"/>
  <c r="G10" i="13"/>
  <c r="O84" i="5" l="1"/>
  <c r="L83" i="5"/>
  <c r="F7" i="4"/>
  <c r="AA8" i="41" l="1"/>
  <c r="O83" i="5"/>
  <c r="O39" i="5" l="1"/>
  <c r="B25" i="17"/>
  <c r="C9" i="1"/>
  <c r="C147" i="1"/>
  <c r="C134" i="1"/>
  <c r="C128" i="1"/>
  <c r="C122" i="1"/>
  <c r="C115" i="1"/>
  <c r="C109" i="1"/>
  <c r="C102" i="1"/>
  <c r="C89" i="1"/>
  <c r="C83" i="1"/>
  <c r="C76" i="1"/>
  <c r="C70" i="1"/>
  <c r="C63" i="1"/>
  <c r="C51" i="1"/>
  <c r="C45" i="1"/>
  <c r="C21" i="1"/>
  <c r="C15" i="1"/>
  <c r="C10" i="15"/>
  <c r="C16" i="15" s="1"/>
  <c r="C189" i="1" l="1"/>
  <c r="E10" i="15"/>
  <c r="O5" i="5"/>
  <c r="C27" i="10"/>
  <c r="C57" i="1"/>
  <c r="L11" i="42"/>
  <c r="N11" i="42" s="1"/>
  <c r="P11" i="42" s="1"/>
  <c r="P10" i="42" s="1"/>
  <c r="G10" i="15" l="1"/>
  <c r="G16" i="15" s="1"/>
  <c r="E16" i="15"/>
  <c r="E189" i="1" s="1"/>
  <c r="C16" i="5"/>
  <c r="L10" i="42"/>
  <c r="N10" i="42"/>
  <c r="O11" i="41"/>
  <c r="L9" i="42"/>
  <c r="N9" i="42" s="1"/>
  <c r="P9" i="42" s="1"/>
  <c r="O13" i="41"/>
  <c r="C194" i="1"/>
  <c r="M9" i="2"/>
  <c r="M11" i="2"/>
  <c r="B23" i="17" s="1"/>
  <c r="C145" i="5"/>
  <c r="I10" i="15" l="1"/>
  <c r="I16" i="15" s="1"/>
  <c r="I189" i="1" s="1"/>
  <c r="P9" i="2"/>
  <c r="T9" i="2" s="1"/>
  <c r="V9" i="2" s="1"/>
  <c r="W9" i="2" s="1"/>
  <c r="Q11" i="41"/>
  <c r="K10" i="15"/>
  <c r="C144" i="5"/>
  <c r="B13" i="2" s="1"/>
  <c r="B11" i="17" s="1"/>
  <c r="D11" i="42"/>
  <c r="F11" i="42" s="1"/>
  <c r="H11" i="42" s="1"/>
  <c r="B9" i="17"/>
  <c r="O12" i="41"/>
  <c r="Q12" i="41"/>
  <c r="X11" i="41" l="1"/>
  <c r="AB11" i="41" s="1"/>
  <c r="K16" i="15"/>
  <c r="B15" i="41"/>
  <c r="I9" i="17"/>
  <c r="M9" i="17"/>
  <c r="F9" i="17"/>
  <c r="E9" i="17"/>
  <c r="J9" i="17"/>
  <c r="G9" i="17"/>
  <c r="H9" i="17"/>
  <c r="N9" i="17"/>
  <c r="K9" i="17"/>
  <c r="L9" i="17"/>
  <c r="D13" i="42"/>
  <c r="C140" i="5"/>
  <c r="C139" i="5" s="1"/>
  <c r="D12" i="41"/>
  <c r="L189" i="1" l="1"/>
  <c r="O189" i="1" s="1"/>
  <c r="K189" i="1"/>
  <c r="B8" i="2"/>
  <c r="B8" i="17" s="1"/>
  <c r="B10" i="41"/>
  <c r="F13" i="42"/>
  <c r="D8" i="42"/>
  <c r="F8" i="42" s="1"/>
  <c r="H8" i="42" s="1"/>
  <c r="C137" i="5"/>
  <c r="C129" i="5" s="1"/>
  <c r="H12" i="35"/>
  <c r="H13" i="13"/>
  <c r="C121" i="5" l="1"/>
  <c r="C119" i="5" s="1"/>
  <c r="C117" i="5" s="1"/>
  <c r="C105" i="5" s="1"/>
  <c r="C97" i="5" s="1"/>
  <c r="C128" i="5"/>
  <c r="H13" i="42"/>
  <c r="F10" i="4"/>
  <c r="F11" i="4"/>
  <c r="F12" i="4"/>
  <c r="F13" i="4"/>
  <c r="F14" i="4"/>
  <c r="F15" i="4"/>
  <c r="E16" i="4"/>
  <c r="E17" i="4" s="1"/>
  <c r="D12" i="42" l="1"/>
  <c r="B14" i="41"/>
  <c r="B12" i="41" s="1"/>
  <c r="B12" i="2"/>
  <c r="C91" i="5"/>
  <c r="C87" i="5" s="1"/>
  <c r="C84" i="5" s="1"/>
  <c r="C83" i="5" s="1"/>
  <c r="D6" i="42" s="1"/>
  <c r="F6" i="42" s="1"/>
  <c r="H6" i="42" s="1"/>
  <c r="C39" i="5"/>
  <c r="C5" i="5" s="1"/>
  <c r="C4" i="5" s="1"/>
  <c r="D13" i="13"/>
  <c r="F6" i="13"/>
  <c r="B10" i="17" l="1"/>
  <c r="B10" i="2"/>
  <c r="B8" i="41"/>
  <c r="B6" i="2"/>
  <c r="B6" i="17" s="1"/>
  <c r="I6" i="17" s="1"/>
  <c r="C53" i="5"/>
  <c r="C3" i="5" s="1"/>
  <c r="C159" i="5" s="1"/>
  <c r="B7" i="2"/>
  <c r="B7" i="17" s="1"/>
  <c r="I7" i="17" s="1"/>
  <c r="D7" i="42"/>
  <c r="F7" i="42" s="1"/>
  <c r="H7" i="42" s="1"/>
  <c r="B9" i="41"/>
  <c r="F12" i="42"/>
  <c r="D10" i="42"/>
  <c r="F17" i="16"/>
  <c r="H17" i="16" s="1"/>
  <c r="F12" i="16"/>
  <c r="H12" i="16" s="1"/>
  <c r="F11" i="16"/>
  <c r="H11" i="16" s="1"/>
  <c r="F10" i="16"/>
  <c r="H10" i="16" s="1"/>
  <c r="F9" i="16"/>
  <c r="F6" i="16"/>
  <c r="H6" i="16" s="1"/>
  <c r="F7" i="16"/>
  <c r="H7" i="16" s="1"/>
  <c r="F5" i="16"/>
  <c r="H5" i="16" s="1"/>
  <c r="F4" i="16"/>
  <c r="G6" i="35"/>
  <c r="G5" i="35"/>
  <c r="G5" i="13"/>
  <c r="G6" i="13"/>
  <c r="G7" i="13"/>
  <c r="G8" i="13"/>
  <c r="G9" i="13"/>
  <c r="H12" i="42" l="1"/>
  <c r="H10" i="42" s="1"/>
  <c r="F10" i="42"/>
  <c r="H9" i="16"/>
  <c r="H8" i="16" s="1"/>
  <c r="F8" i="16"/>
  <c r="L94" i="1"/>
  <c r="U13" i="13"/>
  <c r="H4" i="16"/>
  <c r="F22" i="16"/>
  <c r="I13" i="13"/>
  <c r="I12" i="35"/>
  <c r="O15" i="17"/>
  <c r="D12" i="35"/>
  <c r="F12" i="35"/>
  <c r="E12" i="35"/>
  <c r="C12" i="35"/>
  <c r="M12" i="35" s="1"/>
  <c r="F13" i="13"/>
  <c r="E13" i="13"/>
  <c r="C13" i="13"/>
  <c r="C29" i="29"/>
  <c r="J28" i="29"/>
  <c r="E27" i="29"/>
  <c r="C8" i="16"/>
  <c r="C18" i="16"/>
  <c r="O9" i="17"/>
  <c r="O12" i="17"/>
  <c r="O14" i="17"/>
  <c r="O94" i="1" l="1"/>
  <c r="L188" i="1"/>
  <c r="O188" i="1" s="1"/>
  <c r="L95" i="1"/>
  <c r="O95" i="1" s="1"/>
  <c r="H22" i="16"/>
  <c r="C22" i="16"/>
  <c r="C38" i="32"/>
  <c r="J27" i="29"/>
  <c r="E29" i="29"/>
  <c r="G29" i="29"/>
  <c r="C94" i="1"/>
  <c r="D29" i="29"/>
  <c r="D21" i="12"/>
  <c r="P9" i="17"/>
  <c r="P13" i="17"/>
  <c r="G12" i="35"/>
  <c r="P14" i="17"/>
  <c r="G13" i="13"/>
  <c r="E23" i="12"/>
  <c r="L190" i="1" l="1"/>
  <c r="C85" i="32"/>
  <c r="E38" i="32"/>
  <c r="G38" i="32" s="1"/>
  <c r="I38" i="32" s="1"/>
  <c r="I85" i="32" s="1"/>
  <c r="C188" i="1"/>
  <c r="G94" i="1"/>
  <c r="I94" i="1" s="1"/>
  <c r="K94" i="1" s="1"/>
  <c r="K188" i="1" s="1"/>
  <c r="K190" i="1" s="1"/>
  <c r="K198" i="1" s="1"/>
  <c r="C40" i="32"/>
  <c r="N19" i="2"/>
  <c r="N22" i="2" s="1"/>
  <c r="J29" i="29"/>
  <c r="F23" i="12"/>
  <c r="C95" i="1"/>
  <c r="F17" i="4"/>
  <c r="K38" i="32" l="1"/>
  <c r="K85" i="32" s="1"/>
  <c r="O190" i="1"/>
  <c r="L198" i="1"/>
  <c r="O198" i="1" s="1"/>
  <c r="K95" i="1"/>
  <c r="I188" i="1"/>
  <c r="I190" i="1" s="1"/>
  <c r="I198" i="1" s="1"/>
  <c r="I95" i="1"/>
  <c r="I40" i="32"/>
  <c r="I87" i="32" s="1"/>
  <c r="G40" i="32"/>
  <c r="G87" i="32" s="1"/>
  <c r="G93" i="32" s="1"/>
  <c r="G85" i="32"/>
  <c r="G95" i="1"/>
  <c r="G188" i="1"/>
  <c r="O18" i="2"/>
  <c r="E85" i="32"/>
  <c r="E40" i="32"/>
  <c r="L8" i="42"/>
  <c r="N8" i="42" s="1"/>
  <c r="P8" i="42" s="1"/>
  <c r="P4" i="42" s="1"/>
  <c r="P14" i="42" s="1"/>
  <c r="E188" i="1"/>
  <c r="E95" i="1"/>
  <c r="C190" i="1"/>
  <c r="C198" i="1" s="1"/>
  <c r="C87" i="32"/>
  <c r="C93" i="32" s="1"/>
  <c r="C96" i="32" s="1"/>
  <c r="M8" i="2"/>
  <c r="B21" i="17" s="1"/>
  <c r="O10" i="41"/>
  <c r="B22" i="17"/>
  <c r="G23" i="12"/>
  <c r="O19" i="2"/>
  <c r="P24" i="17"/>
  <c r="E8" i="17"/>
  <c r="H8" i="17"/>
  <c r="N8" i="17"/>
  <c r="K8" i="17"/>
  <c r="H10" i="17"/>
  <c r="P12" i="17"/>
  <c r="H19" i="17"/>
  <c r="G19" i="17"/>
  <c r="E19" i="17"/>
  <c r="C19" i="17"/>
  <c r="M19" i="17"/>
  <c r="F19" i="17"/>
  <c r="K19" i="17"/>
  <c r="L19" i="17"/>
  <c r="N19" i="17"/>
  <c r="J19" i="17"/>
  <c r="D19" i="17"/>
  <c r="K40" i="32" l="1"/>
  <c r="I93" i="32"/>
  <c r="P8" i="2"/>
  <c r="Q10" i="41"/>
  <c r="S10" i="41" s="1"/>
  <c r="P18" i="42"/>
  <c r="P22" i="42" s="1"/>
  <c r="G190" i="1"/>
  <c r="G198" i="1" s="1"/>
  <c r="G201" i="1" s="1"/>
  <c r="O22" i="2"/>
  <c r="L25" i="2" s="1"/>
  <c r="E87" i="32"/>
  <c r="E93" i="32" s="1"/>
  <c r="E96" i="32" s="1"/>
  <c r="E190" i="1"/>
  <c r="E198" i="1" s="1"/>
  <c r="L4" i="42"/>
  <c r="L14" i="42" s="1"/>
  <c r="N4" i="42"/>
  <c r="N14" i="42" s="1"/>
  <c r="O6" i="41"/>
  <c r="O16" i="41" s="1"/>
  <c r="P22" i="17"/>
  <c r="O19" i="17"/>
  <c r="P19" i="17" s="1"/>
  <c r="M4" i="2"/>
  <c r="I23" i="12"/>
  <c r="H23" i="12"/>
  <c r="O8" i="17"/>
  <c r="P15" i="17"/>
  <c r="C6" i="17"/>
  <c r="J6" i="17"/>
  <c r="H6" i="17"/>
  <c r="E6" i="17"/>
  <c r="G6" i="17"/>
  <c r="N6" i="17"/>
  <c r="D6" i="17"/>
  <c r="F6" i="17"/>
  <c r="L6" i="17"/>
  <c r="K6" i="17"/>
  <c r="M6" i="17"/>
  <c r="K10" i="17"/>
  <c r="N10" i="17"/>
  <c r="K87" i="32" l="1"/>
  <c r="K93" i="32" s="1"/>
  <c r="K162" i="5" s="1"/>
  <c r="U10" i="41"/>
  <c r="W10" i="41" s="1"/>
  <c r="Q6" i="41"/>
  <c r="Q16" i="41" s="1"/>
  <c r="Q20" i="41" s="1"/>
  <c r="Q24" i="41" s="1"/>
  <c r="S6" i="41"/>
  <c r="S16" i="41" s="1"/>
  <c r="F25" i="41" s="1"/>
  <c r="P4" i="2"/>
  <c r="P14" i="2" s="1"/>
  <c r="P18" i="2" s="1"/>
  <c r="R8" i="2"/>
  <c r="T8" i="2" s="1"/>
  <c r="B5" i="2"/>
  <c r="B5" i="17" s="1"/>
  <c r="I5" i="17" s="1"/>
  <c r="D5" i="42"/>
  <c r="B7" i="41"/>
  <c r="B6" i="41" s="1"/>
  <c r="B16" i="41" s="1"/>
  <c r="B20" i="41" s="1"/>
  <c r="B24" i="41" s="1"/>
  <c r="C200" i="1"/>
  <c r="C201" i="1" s="1"/>
  <c r="L18" i="42"/>
  <c r="L22" i="42" s="1"/>
  <c r="N18" i="42"/>
  <c r="N22" i="42" s="1"/>
  <c r="O20" i="41"/>
  <c r="O24" i="41" s="1"/>
  <c r="P8" i="17"/>
  <c r="C7" i="17"/>
  <c r="N7" i="17"/>
  <c r="J7" i="17"/>
  <c r="F7" i="17"/>
  <c r="E7" i="17"/>
  <c r="G7" i="17"/>
  <c r="M7" i="17"/>
  <c r="D7" i="17"/>
  <c r="K7" i="17"/>
  <c r="L7" i="17"/>
  <c r="H7" i="17"/>
  <c r="J23" i="12"/>
  <c r="P19" i="2"/>
  <c r="P23" i="17"/>
  <c r="H20" i="17"/>
  <c r="P25" i="17"/>
  <c r="O6" i="17"/>
  <c r="O10" i="17"/>
  <c r="O11" i="17"/>
  <c r="P11" i="17" s="1"/>
  <c r="M10" i="2"/>
  <c r="W6" i="41" l="1"/>
  <c r="W16" i="41" s="1"/>
  <c r="W20" i="41" s="1"/>
  <c r="W24" i="41" s="1"/>
  <c r="X10" i="41"/>
  <c r="U6" i="41"/>
  <c r="U16" i="41" s="1"/>
  <c r="H25" i="41" s="1"/>
  <c r="R4" i="2"/>
  <c r="S20" i="41"/>
  <c r="S24" i="41" s="1"/>
  <c r="P22" i="2"/>
  <c r="B4" i="2"/>
  <c r="F5" i="42"/>
  <c r="D4" i="42"/>
  <c r="D14" i="42" s="1"/>
  <c r="B25" i="41"/>
  <c r="P10" i="17"/>
  <c r="P6" i="17"/>
  <c r="M14" i="2"/>
  <c r="O7" i="17"/>
  <c r="B27" i="17"/>
  <c r="J20" i="17"/>
  <c r="L20" i="17"/>
  <c r="D20" i="17"/>
  <c r="M20" i="17"/>
  <c r="E20" i="17"/>
  <c r="K20" i="17"/>
  <c r="G20" i="17"/>
  <c r="F20" i="17"/>
  <c r="C20" i="17"/>
  <c r="N20" i="17"/>
  <c r="J18" i="17"/>
  <c r="F18" i="17"/>
  <c r="F27" i="17" s="1"/>
  <c r="C18" i="17"/>
  <c r="C27" i="17" s="1"/>
  <c r="K18" i="17"/>
  <c r="E18" i="17"/>
  <c r="M18" i="17"/>
  <c r="L18" i="17"/>
  <c r="N18" i="17"/>
  <c r="D18" i="17"/>
  <c r="H18" i="17"/>
  <c r="H27" i="17" s="1"/>
  <c r="G18" i="17"/>
  <c r="U20" i="41" l="1"/>
  <c r="U24" i="41" s="1"/>
  <c r="T4" i="2"/>
  <c r="T14" i="2" s="1"/>
  <c r="I23" i="2" s="1"/>
  <c r="V8" i="2"/>
  <c r="X6" i="41"/>
  <c r="AB10" i="41"/>
  <c r="T18" i="2"/>
  <c r="T22" i="2" s="1"/>
  <c r="D18" i="42"/>
  <c r="D22" i="42" s="1"/>
  <c r="D23" i="42"/>
  <c r="H5" i="42"/>
  <c r="H4" i="42" s="1"/>
  <c r="H14" i="42" s="1"/>
  <c r="F4" i="42"/>
  <c r="F14" i="42" s="1"/>
  <c r="D27" i="17"/>
  <c r="P7" i="17"/>
  <c r="G27" i="17"/>
  <c r="L27" i="17"/>
  <c r="E27" i="17"/>
  <c r="I27" i="17"/>
  <c r="N27" i="17"/>
  <c r="M27" i="17"/>
  <c r="K27" i="17"/>
  <c r="J27" i="17"/>
  <c r="O20" i="17"/>
  <c r="P20" i="17" s="1"/>
  <c r="M18" i="2"/>
  <c r="M22" i="2" s="1"/>
  <c r="O18" i="17"/>
  <c r="P18" i="17" s="1"/>
  <c r="P21" i="17"/>
  <c r="V4" i="2" l="1"/>
  <c r="W8" i="2"/>
  <c r="AB6" i="41"/>
  <c r="X16" i="41"/>
  <c r="F18" i="42"/>
  <c r="F22" i="42" s="1"/>
  <c r="F23" i="42"/>
  <c r="H18" i="42"/>
  <c r="H22" i="42" s="1"/>
  <c r="H23" i="42"/>
  <c r="O27" i="17"/>
  <c r="V14" i="2" l="1"/>
  <c r="W4" i="2"/>
  <c r="X20" i="41"/>
  <c r="X24" i="41" s="1"/>
  <c r="F5" i="17"/>
  <c r="F16" i="17" s="1"/>
  <c r="B16" i="17"/>
  <c r="B30" i="17" s="1"/>
  <c r="J5" i="17"/>
  <c r="J16" i="17" s="1"/>
  <c r="H5" i="17"/>
  <c r="H16" i="17" s="1"/>
  <c r="E5" i="17"/>
  <c r="E16" i="17" s="1"/>
  <c r="G5" i="17"/>
  <c r="G16" i="17" s="1"/>
  <c r="I16" i="17"/>
  <c r="D5" i="17"/>
  <c r="D16" i="17" s="1"/>
  <c r="M5" i="17"/>
  <c r="M16" i="17" s="1"/>
  <c r="N5" i="17"/>
  <c r="N16" i="17" s="1"/>
  <c r="L5" i="17"/>
  <c r="L16" i="17" s="1"/>
  <c r="K5" i="17"/>
  <c r="K16" i="17" s="1"/>
  <c r="C5" i="17"/>
  <c r="V18" i="2" l="1"/>
  <c r="W14" i="2"/>
  <c r="B14" i="2"/>
  <c r="B23" i="2" s="1"/>
  <c r="O5" i="17"/>
  <c r="C16" i="17"/>
  <c r="C28" i="17" s="1"/>
  <c r="D28" i="17" s="1"/>
  <c r="E28" i="17" s="1"/>
  <c r="F28" i="17" s="1"/>
  <c r="G28" i="17" s="1"/>
  <c r="H28" i="17" s="1"/>
  <c r="I28" i="17" s="1"/>
  <c r="J28" i="17" s="1"/>
  <c r="K28" i="17" s="1"/>
  <c r="L28" i="17" s="1"/>
  <c r="M28" i="17" s="1"/>
  <c r="N28" i="17" s="1"/>
  <c r="V22" i="2" l="1"/>
  <c r="W22" i="2" s="1"/>
  <c r="W18" i="2"/>
  <c r="B18" i="2"/>
  <c r="B22" i="2" s="1"/>
  <c r="O16" i="17"/>
  <c r="P5" i="17"/>
  <c r="D61" i="12" l="1"/>
  <c r="E35" i="7"/>
  <c r="D6" i="41" l="1"/>
  <c r="D16" i="41" s="1"/>
  <c r="E167" i="7"/>
  <c r="E169" i="7" s="1"/>
  <c r="Q36" i="7"/>
  <c r="N168" i="7"/>
  <c r="E38" i="7"/>
  <c r="Q38" i="7" s="1"/>
  <c r="Q35" i="7"/>
  <c r="E170" i="7" l="1"/>
  <c r="E200" i="1"/>
  <c r="E201" i="1" s="1"/>
  <c r="D25" i="41"/>
  <c r="D20" i="41"/>
  <c r="D24" i="41" s="1"/>
  <c r="E4" i="2"/>
  <c r="G4" i="2"/>
  <c r="AA18" i="41"/>
  <c r="Q168" i="7"/>
  <c r="G14" i="2" l="1"/>
  <c r="E14" i="2"/>
  <c r="E23" i="2" s="1"/>
  <c r="AA17" i="41"/>
  <c r="D23" i="2" l="1"/>
  <c r="G18" i="2"/>
  <c r="E18" i="2"/>
  <c r="E22" i="2" s="1"/>
  <c r="O88" i="32"/>
  <c r="Z13" i="41"/>
  <c r="AB13" i="41" s="1"/>
  <c r="G22" i="2" l="1"/>
  <c r="Z12" i="41"/>
  <c r="Z16" i="41" s="1"/>
  <c r="Z20" i="41" s="1"/>
  <c r="AB12" i="41" l="1"/>
  <c r="AB16" i="41"/>
  <c r="AB20" i="41"/>
  <c r="Z24" i="41"/>
  <c r="AB24" i="41" s="1"/>
  <c r="O53" i="5"/>
  <c r="L134" i="5"/>
  <c r="O134" i="5" s="1"/>
  <c r="AA13" i="41" l="1"/>
  <c r="L3" i="5"/>
  <c r="L128" i="5"/>
  <c r="AA14" i="41" s="1"/>
  <c r="O4" i="5"/>
  <c r="L159" i="5" l="1"/>
  <c r="O159" i="5" s="1"/>
  <c r="O3" i="5"/>
  <c r="AA7" i="41"/>
  <c r="K12" i="41"/>
  <c r="AA12" i="41" s="1"/>
  <c r="O128" i="5"/>
  <c r="K6" i="41"/>
  <c r="AA6" i="41" s="1"/>
  <c r="K16" i="41" l="1"/>
  <c r="AA16" i="41" l="1"/>
  <c r="K20" i="41"/>
  <c r="K25" i="41"/>
  <c r="AA25" i="41" s="1"/>
  <c r="K24" i="41" l="1"/>
  <c r="AA24" i="41" s="1"/>
  <c r="AA20" i="41"/>
  <c r="H167" i="7"/>
  <c r="I23" i="7"/>
  <c r="H26" i="7"/>
  <c r="H170" i="7" s="1"/>
  <c r="I167" i="7" l="1"/>
  <c r="K23" i="7"/>
  <c r="I26" i="7"/>
  <c r="I170" i="7" s="1"/>
  <c r="Q110" i="7"/>
  <c r="R10" i="2"/>
  <c r="R14" i="2" s="1"/>
  <c r="K26" i="7" l="1"/>
  <c r="M23" i="7"/>
  <c r="G23" i="2"/>
  <c r="R18" i="2"/>
  <c r="N23" i="7" l="1"/>
  <c r="M26" i="7"/>
  <c r="R22" i="2"/>
  <c r="J11" i="7"/>
  <c r="Q23" i="7" l="1"/>
  <c r="N26" i="7"/>
  <c r="Q26" i="7" s="1"/>
  <c r="J167" i="7"/>
  <c r="K11" i="7"/>
  <c r="J14" i="7"/>
  <c r="K167" i="7" l="1"/>
  <c r="M11" i="7"/>
  <c r="K14" i="7"/>
  <c r="K170" i="7" s="1"/>
  <c r="J170" i="7"/>
  <c r="M167" i="7" l="1"/>
  <c r="N11" i="7"/>
  <c r="M14" i="7"/>
  <c r="M170" i="7" s="1"/>
  <c r="Q11" i="7" l="1"/>
  <c r="N14" i="7"/>
  <c r="Q14" i="7" s="1"/>
  <c r="N167" i="7"/>
  <c r="N170" i="7" l="1"/>
  <c r="Q170" i="7" s="1"/>
  <c r="N169" i="7"/>
  <c r="Q169" i="7" s="1"/>
  <c r="Q167" i="7"/>
  <c r="O171" i="1"/>
</calcChain>
</file>

<file path=xl/comments1.xml><?xml version="1.0" encoding="utf-8"?>
<comments xmlns="http://schemas.openxmlformats.org/spreadsheetml/2006/main">
  <authors>
    <author>Schleisz-Bognár Atti</author>
  </authors>
  <commentList>
    <comment ref="L25" authorId="0">
      <text>
        <r>
          <rPr>
            <b/>
            <sz val="9"/>
            <color indexed="81"/>
            <rFont val="Tahoma"/>
            <family val="2"/>
            <charset val="238"/>
          </rPr>
          <t>Schleisz-Bognár Atti: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Schleisz-Bognár Atti</author>
  </authors>
  <commentList>
    <comment ref="AA26" authorId="0">
      <text>
        <r>
          <rPr>
            <b/>
            <sz val="9"/>
            <color indexed="81"/>
            <rFont val="Tahoma"/>
            <family val="2"/>
            <charset val="238"/>
          </rPr>
          <t>Schleisz-Bognár Atti: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Kovács Anikó</author>
  </authors>
  <commentList>
    <comment ref="C32" authorId="0">
      <text>
        <r>
          <rPr>
            <b/>
            <sz val="9"/>
            <color indexed="81"/>
            <rFont val="Tahoma"/>
            <family val="2"/>
            <charset val="238"/>
          </rPr>
          <t>Kovács Anikó:</t>
        </r>
        <r>
          <rPr>
            <sz val="9"/>
            <color indexed="81"/>
            <rFont val="Tahoma"/>
            <family val="2"/>
            <charset val="238"/>
          </rPr>
          <t xml:space="preserve">
Európai Szociális Alap: 10%
</t>
        </r>
      </text>
    </comment>
    <comment ref="C33" authorId="0">
      <text>
        <r>
          <rPr>
            <b/>
            <sz val="9"/>
            <color indexed="81"/>
            <rFont val="Tahoma"/>
            <family val="2"/>
            <charset val="238"/>
          </rPr>
          <t>Kovács Anikó:</t>
        </r>
        <r>
          <rPr>
            <sz val="9"/>
            <color indexed="81"/>
            <rFont val="Tahoma"/>
            <family val="2"/>
            <charset val="238"/>
          </rPr>
          <t xml:space="preserve">
Magyarország költségvetése társfinanszírozásban: 90%</t>
        </r>
      </text>
    </comment>
    <comment ref="D33" authorId="0">
      <text>
        <r>
          <rPr>
            <b/>
            <sz val="9"/>
            <color indexed="81"/>
            <rFont val="Tahoma"/>
            <family val="2"/>
            <charset val="238"/>
          </rPr>
          <t>Kovács Anikó:</t>
        </r>
        <r>
          <rPr>
            <sz val="9"/>
            <color indexed="81"/>
            <rFont val="Tahoma"/>
            <family val="2"/>
            <charset val="238"/>
          </rPr>
          <t xml:space="preserve">
Előleg: 2013.12.17</t>
        </r>
      </text>
    </comment>
  </commentList>
</comments>
</file>

<file path=xl/sharedStrings.xml><?xml version="1.0" encoding="utf-8"?>
<sst xmlns="http://schemas.openxmlformats.org/spreadsheetml/2006/main" count="2609" uniqueCount="976">
  <si>
    <t>KEOP-7.1.0/11-2011-0007 Nagykőrös Város Ivóvízminőség javító beruházása</t>
  </si>
  <si>
    <t xml:space="preserve">  - Előző évi működési célú előirányzat maradvány, pénzmaradvány</t>
  </si>
  <si>
    <t xml:space="preserve">   KÖLTSÉGVETÉSI BEVÉTELEK ÖSSZESEN</t>
  </si>
  <si>
    <t>Foglalkoztatást helyettesítő támogatás</t>
  </si>
  <si>
    <t xml:space="preserve"> ebből: Óvoda Konyha</t>
  </si>
  <si>
    <t xml:space="preserve"> ebből: Parkfenntartás</t>
  </si>
  <si>
    <t xml:space="preserve"> ebből : Óvodakonyha</t>
  </si>
  <si>
    <t xml:space="preserve"> ebből: Központi irányítás TMK, Cifrakert, Sportpálya</t>
  </si>
  <si>
    <t>Parkfenntrtás</t>
  </si>
  <si>
    <t>Balatonakali tábor</t>
  </si>
  <si>
    <t>Hazai és uniós pályázati támogatással megvalósuló feladatok</t>
  </si>
  <si>
    <t>Címrend</t>
  </si>
  <si>
    <t>Cím száma</t>
  </si>
  <si>
    <t>Cím neve</t>
  </si>
  <si>
    <t>Európai uniós támogatással megvalósuló programok, projektek bevételei és kiadásai</t>
  </si>
  <si>
    <t>A program, projekt költségvetése</t>
  </si>
  <si>
    <t>2010. évben pénzügyileg teljesített</t>
  </si>
  <si>
    <t>2011. évben pénzügyileg teljesített</t>
  </si>
  <si>
    <t>EU támogatás</t>
  </si>
  <si>
    <t>Hazai társfinanszírozás</t>
  </si>
  <si>
    <t>BM EU Önerő Alap támogatás</t>
  </si>
  <si>
    <t>Saját erő felhasználás</t>
  </si>
  <si>
    <t>Támogatásértékű bevétel</t>
  </si>
  <si>
    <t>Végleges pénzeszközátvétel</t>
  </si>
  <si>
    <t>Hitelfelvétel</t>
  </si>
  <si>
    <t>Pénzmaradvány</t>
  </si>
  <si>
    <t>Visszaigényelhető ÁFA-bevétel</t>
  </si>
  <si>
    <t>Utófinanszírozás miatti megelőlegezés</t>
  </si>
  <si>
    <t>BEVÉTELEK MINDÖSSZESEN:</t>
  </si>
  <si>
    <t>Beruházási kiadások (ÁFA nélkül)</t>
  </si>
  <si>
    <t>Beruházási kiadások általános forgalmi adója</t>
  </si>
  <si>
    <t>Felújítások (ÁFA nélkül)</t>
  </si>
  <si>
    <t>Felújítások általános forgalmi adója</t>
  </si>
  <si>
    <t>Támogatásértékű kadások</t>
  </si>
  <si>
    <t>Végleges pénzeszközátadások</t>
  </si>
  <si>
    <t>Átfutó kiadásként elszámolt kifizetések</t>
  </si>
  <si>
    <t>Elszámolható kiadások összesen</t>
  </si>
  <si>
    <t>Nem támogatott kiadások</t>
  </si>
  <si>
    <t>KEOP - 1.2.0. - 2F - 2009-0015 szennyvízkezelés fejlesztése</t>
  </si>
  <si>
    <t>Óvoda Konyha</t>
  </si>
  <si>
    <t>Csaba és Társa 2003 Bt.</t>
  </si>
  <si>
    <t>Személyi juttatások</t>
  </si>
  <si>
    <t>Munkaadókat terhelő járulékok</t>
  </si>
  <si>
    <t>Ellátottak pénzbeli juttatása</t>
  </si>
  <si>
    <t>Bevételek</t>
  </si>
  <si>
    <t>Kiadások</t>
  </si>
  <si>
    <t>MŰKÖDÉSI CÉLÚ BEVÉTELEK</t>
  </si>
  <si>
    <t>MŰKÖDÉSI CÉLÚ KIADÁSOK</t>
  </si>
  <si>
    <t>Működési bevételek</t>
  </si>
  <si>
    <t>Dologi és egyéb folyó kiadások</t>
  </si>
  <si>
    <t>Hazai és uniós támogatással megvalósuló feladartok</t>
  </si>
  <si>
    <t>Ellátottak pénzbeli juttatásai</t>
  </si>
  <si>
    <t>Pénzmaradvány működési célú felhasználása</t>
  </si>
  <si>
    <t>FELHALMOZÁSI CÉLÚ BEVÉTELEK</t>
  </si>
  <si>
    <t>FELHALMOZÁSI CÉLÚ KIADÁSOK</t>
  </si>
  <si>
    <t>Felújítások</t>
  </si>
  <si>
    <t>Pénzmaradvány felhalmozási célú felhasználása</t>
  </si>
  <si>
    <t>KÖLTSÉGVETÉSI BEVÉTELEK</t>
  </si>
  <si>
    <t>KÖLTSÉGVETÉSI KIADÁSOK</t>
  </si>
  <si>
    <t>BEVÉTELEK MINDÖSSZESEN</t>
  </si>
  <si>
    <t>KIADÁSOK MINDÖSSZESEN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</si>
  <si>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</si>
  <si>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</si>
  <si>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</si>
  <si>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</si>
  <si>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</si>
  <si>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</si>
  <si>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</si>
  <si>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</si>
  <si>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</si>
  <si>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Intézmények megnevezése</t>
  </si>
  <si>
    <t>Alapellátás magában</t>
  </si>
  <si>
    <t>Ügyeleti Társulás</t>
  </si>
  <si>
    <t xml:space="preserve">Polgármesteri Hivatal </t>
  </si>
  <si>
    <t>ÖNKORMÁNYZAT ÖSSZESEN</t>
  </si>
  <si>
    <t>Cím</t>
  </si>
  <si>
    <t>10.</t>
  </si>
  <si>
    <t>Témák</t>
  </si>
  <si>
    <t>Városüzemeltetési és fenntartási feladatok</t>
  </si>
  <si>
    <t>Közutak üzemeltetése, fenntartása</t>
  </si>
  <si>
    <t>Települési vízellátás</t>
  </si>
  <si>
    <t>Parkok, zöldterületek fenntartása</t>
  </si>
  <si>
    <t>Erdőgazdálkodási feladatok</t>
  </si>
  <si>
    <t>Mezei őrszolgálat</t>
  </si>
  <si>
    <t>Gyepmesteri feladatok</t>
  </si>
  <si>
    <t>Egyéb városüzemeltetési feladatok</t>
  </si>
  <si>
    <t>Közvilágítási szolgáltatás</t>
  </si>
  <si>
    <t>Belvízelvezetés</t>
  </si>
  <si>
    <t>Köztisztasági szolgálat</t>
  </si>
  <si>
    <t>Településfejlesztéssel, lakásgazdálkodással és vagyongazdálkodással kapcsolatos feladatok</t>
  </si>
  <si>
    <t>Önkormányzati ingatlanokkal kapcsolatos feladatok</t>
  </si>
  <si>
    <t>Építés és településfejlesztési feladatok</t>
  </si>
  <si>
    <t>Szociális, egészségügyi feladatok</t>
  </si>
  <si>
    <t>Közcélú foglalkoztatás</t>
  </si>
  <si>
    <t>-</t>
  </si>
  <si>
    <t>Egészségügyi ellátás feladatai</t>
  </si>
  <si>
    <t>Szociális és gyermekjóléti feladatok</t>
  </si>
  <si>
    <t>Közigazgatási, Körzeti igazgatási feladatok</t>
  </si>
  <si>
    <t>Igazgatási tevékenység</t>
  </si>
  <si>
    <t xml:space="preserve"> </t>
  </si>
  <si>
    <t>Közművelődési, oktatási feladatok</t>
  </si>
  <si>
    <t>Oktatási célok és feladatok</t>
  </si>
  <si>
    <t>Városi rendezvények, ünnepségek, külkapcsolatok</t>
  </si>
  <si>
    <t>Külföldi kapcsolatok kiadásai</t>
  </si>
  <si>
    <t>Városi rendezvények</t>
  </si>
  <si>
    <t>Családi Iroda tevékenységei</t>
  </si>
  <si>
    <t>Egyéb önkormányzati feladatok</t>
  </si>
  <si>
    <t>Közbeszerzéssel és pályázatokkal kapcsolatos feladatok</t>
  </si>
  <si>
    <t>Városi kommunikációs feladatok</t>
  </si>
  <si>
    <t>ÖSSZESEN kötelező és egyéb városi feladatok</t>
  </si>
  <si>
    <t>Sorsz.</t>
  </si>
  <si>
    <t>Megnevezés</t>
  </si>
  <si>
    <t>Aktuális módosítás 
( +/-)</t>
  </si>
  <si>
    <t>I.</t>
  </si>
  <si>
    <t>MŰKÖDÉSI BEVÉTELEK</t>
  </si>
  <si>
    <t xml:space="preserve">   - Igazgatási szolgáltatások díjbevétele</t>
  </si>
  <si>
    <t xml:space="preserve">   - Bírságból származó bevétel</t>
  </si>
  <si>
    <t>Önkormányzati ingatlanok bérleti díjai</t>
  </si>
  <si>
    <t>Közterület foglalási díj</t>
  </si>
  <si>
    <t>Építményadó</t>
  </si>
  <si>
    <t>Magánszemélyek kommunális adója</t>
  </si>
  <si>
    <t>Iparűzési adó</t>
  </si>
  <si>
    <t>FINANSZÍROZÁSI BEVÉTELEK</t>
  </si>
  <si>
    <t>KMOP-3.3.3-11-2011-0110 Napelemrendszer kialakítása Nagykőrösön</t>
  </si>
  <si>
    <t>Társadalom-, szociálpolitikai és egyéb juttatás</t>
  </si>
  <si>
    <t>Normatív lakásfenntartási támogatás</t>
  </si>
  <si>
    <t>Óvodáztatási támogatás</t>
  </si>
  <si>
    <t xml:space="preserve"> ebből: Balatonakali tábor</t>
  </si>
  <si>
    <t xml:space="preserve"> ebből : Balatonakali tábor</t>
  </si>
  <si>
    <t>Kiegészítő gyermekvédelmi támogatás</t>
  </si>
  <si>
    <t>Költségvetési hiány összege (Költségvetési bevételek és költségvetési kiadások egyenlege)</t>
  </si>
  <si>
    <t>S. sz.</t>
  </si>
  <si>
    <t>Intézmény neve</t>
  </si>
  <si>
    <t>Dologi kiadások</t>
  </si>
  <si>
    <t>Kiadás összesen</t>
  </si>
  <si>
    <t>Önkormányzati támogatás</t>
  </si>
  <si>
    <t>Intézmények összesen</t>
  </si>
  <si>
    <t>S.sz.</t>
  </si>
  <si>
    <t>intézmény neve</t>
  </si>
  <si>
    <t>Finanszírozási kiadások</t>
  </si>
  <si>
    <t>Költségvetési bevételek és kiadások (hiány/többlet) egyenlege</t>
  </si>
  <si>
    <t>Előző évi pénzmaradvány, előirányzat- maradvány igénybevétele utáni bevételek</t>
  </si>
  <si>
    <t>Előző évi pénzmaradvány, előirányzat- maradvány igénybevétele utáni kiadások</t>
  </si>
  <si>
    <t xml:space="preserve"> Eredeti
előirányzat</t>
  </si>
  <si>
    <t xml:space="preserve">  ÖNKORMÁNYZAT HITELÁLLOMÁNY ÉS HITELTÖRLESZTÉS ALAKULÁSA</t>
  </si>
  <si>
    <t>2009. évben pénzügyileg teljesített</t>
  </si>
  <si>
    <t>Nem támogatott kiadások (ÁFA nélkül)</t>
  </si>
  <si>
    <t>Nem támogatott kiadások ÁFA</t>
  </si>
  <si>
    <t>Közfoglalkoztatott létszám                    (fő)</t>
  </si>
  <si>
    <t>Közigazgatási, körzeti igazgatási feladataok</t>
  </si>
  <si>
    <t xml:space="preserve">Önkormányzat  </t>
  </si>
  <si>
    <t>70 éven felüliek részére nyújtott szemétszállítási díjkompenzáció</t>
  </si>
  <si>
    <t xml:space="preserve">Előterjesztett módosítás </t>
  </si>
  <si>
    <t>Szerződés összege (Ft)</t>
  </si>
  <si>
    <t>számlák alapján</t>
  </si>
  <si>
    <t>Teljes körű központi házi ügyelet ellátása</t>
  </si>
  <si>
    <t xml:space="preserve">                                                                                                                  </t>
  </si>
  <si>
    <t>Eddig
módosított
előirányzat</t>
  </si>
  <si>
    <t>Működési célú támogatások, működési célra átadott pénzeszközök</t>
  </si>
  <si>
    <t>Oktatás</t>
  </si>
  <si>
    <t>2.1.</t>
  </si>
  <si>
    <t>Bursa Hungarica ösztöndíj</t>
  </si>
  <si>
    <t>2.2.</t>
  </si>
  <si>
    <t>2.3.</t>
  </si>
  <si>
    <t>2.4.</t>
  </si>
  <si>
    <t>Jó tanuló, jó sportoló</t>
  </si>
  <si>
    <t>Sporttámogatás</t>
  </si>
  <si>
    <t>Lakossági folyékony hulladék szállítás támogatása</t>
  </si>
  <si>
    <t>70 éven felüli lakosok szemétszállítási díjának támogatása</t>
  </si>
  <si>
    <t>Munkahelyteremtő támogatás</t>
  </si>
  <si>
    <t>II/ .</t>
  </si>
  <si>
    <t xml:space="preserve"> - Előző évi felhalmozási célú előirányzat maradvány, pénzmaradvány</t>
  </si>
  <si>
    <t>Felhalmozási célra hosszú lejáratú hitel felvétele</t>
  </si>
  <si>
    <t>Épített örökség helyi értékeinek védelmére önkormányzati támogatás</t>
  </si>
  <si>
    <t>Dolgozók lakásépítési, korszerűsítési kamatmentes kölcsöne</t>
  </si>
  <si>
    <t>Önkormányzati helyi lakásépítés kamatmentes kölcsöne</t>
  </si>
  <si>
    <t xml:space="preserve"> ÖSSZESEN</t>
  </si>
  <si>
    <t>Összesen</t>
  </si>
  <si>
    <t>Általános tartalék</t>
  </si>
  <si>
    <t>Céltartalék környezetvédelmi keret felosztására</t>
  </si>
  <si>
    <t>MŰKÖDÉSI KIADÁSOK ÖSSZESEN:</t>
  </si>
  <si>
    <t>tőke</t>
  </si>
  <si>
    <t>kamat</t>
  </si>
  <si>
    <t>UniCredit Bank Hungary Zrt. hitel összesen</t>
  </si>
  <si>
    <t>Tőketörlesztés</t>
  </si>
  <si>
    <t>Kamat</t>
  </si>
  <si>
    <t xml:space="preserve">Ingatlanfelújítás </t>
  </si>
  <si>
    <t>Aktuális
módosítás
(+/-)</t>
  </si>
  <si>
    <t>kiadás</t>
  </si>
  <si>
    <t xml:space="preserve">Gyermekvédelmi kedvezmény </t>
  </si>
  <si>
    <t>Ellátottak pénzbeli juttatásai összesen</t>
  </si>
  <si>
    <t xml:space="preserve">ebből önkormányzati finanszírozás </t>
  </si>
  <si>
    <t xml:space="preserve">Haszonbérlet   </t>
  </si>
  <si>
    <t>Polgármesteri keret</t>
  </si>
  <si>
    <t>Szennyvízkezelés és elvezetés</t>
  </si>
  <si>
    <t>Eredeti
előirányzat</t>
  </si>
  <si>
    <t>11.</t>
  </si>
  <si>
    <t>Céltartalék normatív támogatás visszafizetésére</t>
  </si>
  <si>
    <t>Céltartalék közfoglalkoztatás pályázatra</t>
  </si>
  <si>
    <t>Önkormányzati lakások  és nem lakáscélú ingatlanok felújítása</t>
  </si>
  <si>
    <t>Magyar Takarékszövetkezeti Bank Zrt. hitel összesen</t>
  </si>
  <si>
    <t>Nagykőrösi Mese-vár Óvoda</t>
  </si>
  <si>
    <t>I/.</t>
  </si>
  <si>
    <t>NAGYKŐRÖS VÁROS ÖNKORMÁNYZAT KÖLTSÉGVETÉSI MÉRLEGE</t>
  </si>
  <si>
    <t>Előirányzat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</si>
  <si>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</si>
  <si>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</si>
  <si>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</si>
  <si>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</si>
  <si>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</si>
  <si>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</si>
  <si>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</si>
  <si>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</si>
  <si>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</si>
  <si>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</si>
  <si>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</si>
  <si>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</si>
  <si>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BEVÉTELEK</t>
  </si>
  <si>
    <t>KIADÁSOK</t>
  </si>
  <si>
    <t>KÖZVETETT TÁMOGATÁSOK RÉSZLETEZÉSE</t>
  </si>
  <si>
    <t xml:space="preserve"> ezer forint   </t>
  </si>
  <si>
    <t>Sor-szám</t>
  </si>
  <si>
    <t>Költségvetési hiány külső finanszírozását szolgáló finanszírozási műveletek bevételei</t>
  </si>
  <si>
    <t>1.1</t>
  </si>
  <si>
    <t>1.2</t>
  </si>
  <si>
    <t>Alcím</t>
  </si>
  <si>
    <t>Bevételi jogcím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</si>
  <si>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</si>
  <si>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</si>
  <si>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</si>
  <si>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</si>
  <si>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</si>
  <si>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Magánszemélyek kommunális adója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</si>
  <si>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</si>
  <si>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</si>
  <si>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menteség</t>
  </si>
  <si>
    <t>Eszközök hasznosítása utáni kedvezmény, menteség</t>
  </si>
  <si>
    <t>Egyéb kedvezmény</t>
  </si>
  <si>
    <t>Egyéb kölcsön elengedése</t>
  </si>
  <si>
    <t>Sorszám</t>
  </si>
  <si>
    <t>Kulturális keret</t>
  </si>
  <si>
    <t>Bevételek összesen</t>
  </si>
  <si>
    <t>Ápolási díj méltányossági alapon</t>
  </si>
  <si>
    <t>Partner megnevezés</t>
  </si>
  <si>
    <t>Szerződés tárgya</t>
  </si>
  <si>
    <t>Szerződés érvényességének kezdete</t>
  </si>
  <si>
    <t>Szerződés érvényességének vége</t>
  </si>
  <si>
    <t>határozatlan</t>
  </si>
  <si>
    <t>Nagykőrös Város Önkormányzat</t>
  </si>
  <si>
    <t>13769. sz. fejlesztési célú forinthitelNagykőrös város szennyvíz-kezelésének fejlesztéseforintban</t>
  </si>
  <si>
    <t>13791. sz. fejlesztési célú forinthitelDéli elkerülő út építése
forintban</t>
  </si>
  <si>
    <t>OH40D020909000 sz. fejlesztési c. hitel Városközpont funkcióbővítő fejlesztése forintban</t>
  </si>
  <si>
    <t>OH40D027009000 sz. fejlesztési c. hitel Nagykőrös Város legkritikusabb területeinek csapadékvízelvezetése forintban</t>
  </si>
  <si>
    <t>Éves adósságszolgálat tőke+kamat</t>
  </si>
  <si>
    <t xml:space="preserve">  - Működéssel kapcsolatos Áfa bevételek                        </t>
  </si>
  <si>
    <t xml:space="preserve">Ivóvízminőség javító beruházás -KEOP7.1.0/11-2011-0007 </t>
  </si>
  <si>
    <t xml:space="preserve"> ebből : Parkfenntartás</t>
  </si>
  <si>
    <t>Gulyás u. útépítés</t>
  </si>
  <si>
    <t>Aktuális módosítás</t>
  </si>
  <si>
    <t>Engedélyezett létszám (fő)</t>
  </si>
  <si>
    <t>Jelenleg
módosított előirányzat</t>
  </si>
  <si>
    <t>Közcélú foglalkoztatás felhalmozási kiadásai</t>
  </si>
  <si>
    <t>1.3</t>
  </si>
  <si>
    <t>Szennyvízcsatorna és ivóvízbekötés támogatás</t>
  </si>
  <si>
    <t>KEOP-7.1.0/11-2011-0007 Nagykőrös Város Ivóvízminőség javító beruházásának megvalósítása</t>
  </si>
  <si>
    <t>1.4</t>
  </si>
  <si>
    <t>1.5</t>
  </si>
  <si>
    <t>1.6</t>
  </si>
  <si>
    <t>1.7</t>
  </si>
  <si>
    <t>2.1</t>
  </si>
  <si>
    <t>2.2</t>
  </si>
  <si>
    <t>2.3</t>
  </si>
  <si>
    <t>2.4</t>
  </si>
  <si>
    <t>2.5</t>
  </si>
  <si>
    <t>2.6</t>
  </si>
  <si>
    <t>2.7</t>
  </si>
  <si>
    <t>3</t>
  </si>
  <si>
    <t>3.1</t>
  </si>
  <si>
    <t>3.2</t>
  </si>
  <si>
    <t>3.3</t>
  </si>
  <si>
    <t>3.4</t>
  </si>
  <si>
    <t>3.5</t>
  </si>
  <si>
    <t>3.6</t>
  </si>
  <si>
    <t>Közgyógyellátási igazolvány méltányossági alapon</t>
  </si>
  <si>
    <t>Köznevelési intézmények működtetése</t>
  </si>
  <si>
    <t xml:space="preserve">ebből: Köznevelési intézmények </t>
  </si>
  <si>
    <t>Iskola Konyha</t>
  </si>
  <si>
    <t>ebből: Köznevelési Intézmények működtetése</t>
  </si>
  <si>
    <t>ebből: Iskola Konyha</t>
  </si>
  <si>
    <t>Eredeti előirányzat</t>
  </si>
  <si>
    <t>Év sportolója díj</t>
  </si>
  <si>
    <t>Egyéb városi feladatok (kitüntető cím)</t>
  </si>
  <si>
    <t>Zöldterület gazdálkodással kapcsolatos feladatellátás támogatása</t>
  </si>
  <si>
    <t>Közvilágítás fenntartásának támogatása</t>
  </si>
  <si>
    <t>Települési önkormányzatok kulturális feladatainak támogatása</t>
  </si>
  <si>
    <t>Települési önkormányzatok támogatása a nyilvános könyvtári ellátási és a közművelődési feladatokhoz</t>
  </si>
  <si>
    <t>Hozzájárulés pénzbeli szociális ellátásokhoz</t>
  </si>
  <si>
    <t>Szociális étkeztetés</t>
  </si>
  <si>
    <t>Házi segítségnyújtás</t>
  </si>
  <si>
    <t>Időskorúak nappali intézményi ellátása</t>
  </si>
  <si>
    <t>Fogyatékos személyek nappali intézményi ellátása</t>
  </si>
  <si>
    <t>Önkormányzatok működésének támogatása</t>
  </si>
  <si>
    <t>2012. évben pénzügyileg teljesített</t>
  </si>
  <si>
    <t>Céltartalék járdaépítésre</t>
  </si>
  <si>
    <t>- Osztalékbevétel</t>
  </si>
  <si>
    <t>Nagykőrösi Polgármesteri Hivatal</t>
  </si>
  <si>
    <t>Engedélyezett létszám (fő)  január 1.</t>
  </si>
  <si>
    <t>3. NAGYKŐRÖSI POLGÁRMESTERI HIVATAL BEVÉTELEI</t>
  </si>
  <si>
    <t>Állami feladatok</t>
  </si>
  <si>
    <t>Munkaadókat terhelő járulékok és szociális hozzájárulási adó</t>
  </si>
  <si>
    <t>2. NAGYKŐRÖS VÁROS ÖNKORMÁNYZAT BEVÉTELEI</t>
  </si>
  <si>
    <t>Kötelező feladatok</t>
  </si>
  <si>
    <t>Önként vállalt feladatok</t>
  </si>
  <si>
    <t>Céltartalék szervezési intézkedésekhez kapcsolódó többletkiadásokhoz</t>
  </si>
  <si>
    <t>S-10-589</t>
  </si>
  <si>
    <t>S-13-6</t>
  </si>
  <si>
    <t>Dr. Papp Katalin Ügyvédi Iroda</t>
  </si>
  <si>
    <t>Teljes körű jogi képviselet</t>
  </si>
  <si>
    <t>S-11-435</t>
  </si>
  <si>
    <t>International Ambulance Services  Egészségügyi és szolgáltató Kft.</t>
  </si>
  <si>
    <t>S-12-31</t>
  </si>
  <si>
    <t>Közszolgáltatási szerződés a települési folyékony hulladékkal kapcsolatos kötelező helyi közszolgátatás ellátására</t>
  </si>
  <si>
    <t>Számlák alapján</t>
  </si>
  <si>
    <t>Tánczos Tibor</t>
  </si>
  <si>
    <t>Webmesteri teendők ellátása</t>
  </si>
  <si>
    <t>Kötelező feladat</t>
  </si>
  <si>
    <t>Önként vállalt feladat</t>
  </si>
  <si>
    <t>Heliy adók</t>
  </si>
  <si>
    <t>Osztalék, koncessziós díjak</t>
  </si>
  <si>
    <t>Díjak, pótlékok, bírságok</t>
  </si>
  <si>
    <t>Tárgyi eszközök, immateriális javak, vagyoni értékű jog értékesítése, vagyonhasznosításból származó bevétel</t>
  </si>
  <si>
    <t>Részvények, részesedések értékesítése</t>
  </si>
  <si>
    <t>Vállalat értékesítésből, privatizációból származó bevétel</t>
  </si>
  <si>
    <t>Kezességvállalással kapcsolatos megtérülés</t>
  </si>
  <si>
    <t>Tárgyév</t>
  </si>
  <si>
    <t>2015.</t>
  </si>
  <si>
    <t>2016.</t>
  </si>
  <si>
    <t>2017.</t>
  </si>
  <si>
    <t>2018.</t>
  </si>
  <si>
    <t>2019.</t>
  </si>
  <si>
    <t>2020.</t>
  </si>
  <si>
    <t>2021.</t>
  </si>
  <si>
    <t>Saját bevételek</t>
  </si>
  <si>
    <t>Az Önkormányzat saját bevételeinek részletezése az adósságot keletkeztető ügyletből származó tárgyévi fizetési kötelezettség megállapításához</t>
  </si>
  <si>
    <t>Az Önkormányzat adósságot keletkeztető ügyleteiből és kezességvállalásaiból fennálló kötelezettségei az adósságot keletkező ügyletek futamidejének végéig</t>
  </si>
  <si>
    <t>Előző években keletkezett tárgyévi fizetési kötelezettség</t>
  </si>
  <si>
    <t>Felvett, átvállalt hitel és annak tőketartozása</t>
  </si>
  <si>
    <t>Felvett, átvállalt kölcsön és annak tőketartozása</t>
  </si>
  <si>
    <t>Hitelviszonyt megtestesítő értékpapír</t>
  </si>
  <si>
    <t>Adott váltó</t>
  </si>
  <si>
    <t>Pénzügyi lízing</t>
  </si>
  <si>
    <t>Halasztott fizetés</t>
  </si>
  <si>
    <t>Kezesség vállalásból eredő fizetési kötelezettség</t>
  </si>
  <si>
    <t>Tárgyévben keletkezett, illetve keletkező, tárgyévet terhelő fizetési kötelezettség</t>
  </si>
  <si>
    <t>Fizetési kötelezettség összesen</t>
  </si>
  <si>
    <t>ÖNKORMÁNYZAT ADÓSSÁGOT KELETKEZTETŐ ÜGYLETEIBŐL EREDŐ FIZETÉSI KÖTELEZETTSÉGEINEK BEMUATÁSA</t>
  </si>
  <si>
    <t>Önkormányzati tűzoltóság támogatása</t>
  </si>
  <si>
    <t xml:space="preserve"> ezer forint</t>
  </si>
  <si>
    <t>Állomány 2014.január1.</t>
  </si>
  <si>
    <t>13935. sz. kölcsönszerződés forgóeszközfinanszírozására</t>
  </si>
  <si>
    <t>13895. sz. fejlesztési célú forinthitel a 11810 és 0666 hrszú Fűzfás út építésére</t>
  </si>
  <si>
    <t>Képviselő-testület, bizottságok, politikai tanácsadó, polgármesteri kabinet</t>
  </si>
  <si>
    <t xml:space="preserve">Szabadság tér 4. épület </t>
  </si>
  <si>
    <t>Irodabútorok beszerzése Polgármesteri Hivatal 
működéséhez</t>
  </si>
  <si>
    <t>BERUHÁZÁSOK</t>
  </si>
  <si>
    <t>Beruházások összesen</t>
  </si>
  <si>
    <t>Felújítások összesen</t>
  </si>
  <si>
    <t>3. POLGÁRMESTERI HIVATAL</t>
  </si>
  <si>
    <t>Egyéb működési célú kiadások</t>
  </si>
  <si>
    <t>Működési költségvetés</t>
  </si>
  <si>
    <t>Beruházások</t>
  </si>
  <si>
    <t>Egyéb felhalmozási célú kiadások</t>
  </si>
  <si>
    <t>Felhalmozási költségvetés</t>
  </si>
  <si>
    <t>Működési célú támogatások államháztartáson belül</t>
  </si>
  <si>
    <t>Felhalmozási célú támogatások államháztart. belül</t>
  </si>
  <si>
    <t>091</t>
  </si>
  <si>
    <t>092</t>
  </si>
  <si>
    <t>093</t>
  </si>
  <si>
    <t>094</t>
  </si>
  <si>
    <t>095</t>
  </si>
  <si>
    <t>096</t>
  </si>
  <si>
    <t>097</t>
  </si>
  <si>
    <t>098</t>
  </si>
  <si>
    <t>Közhatalmi bevételek</t>
  </si>
  <si>
    <t>Felhalmozási bevételek</t>
  </si>
  <si>
    <t>Működési célú átvett pénzeszközök</t>
  </si>
  <si>
    <t>Felhalmozási célú átvett pénzeszközök</t>
  </si>
  <si>
    <t>Finanszírozási bevételek</t>
  </si>
  <si>
    <t>KÖZHATALMI BEVÉTELEK</t>
  </si>
  <si>
    <t>FELHALMOZÁSI  BEVÉTELEK</t>
  </si>
  <si>
    <t>MŰKÖDÉSI CÉLÚ ÁTVETT PÉNZESZKÖZÖK</t>
  </si>
  <si>
    <t>FELHALMOZÁSI CÉLÚ ÁTVETT PÉNZESZKÖZÖK</t>
  </si>
  <si>
    <t>0911</t>
  </si>
  <si>
    <t>09111</t>
  </si>
  <si>
    <t>Helyi önkormányzatok működésének általános támogatása</t>
  </si>
  <si>
    <t>09402</t>
  </si>
  <si>
    <t>Szolgáltatások ellenértéke</t>
  </si>
  <si>
    <t>Közvetített szolgáltatások ellenértéke</t>
  </si>
  <si>
    <t>09403</t>
  </si>
  <si>
    <t>09404</t>
  </si>
  <si>
    <t>Tulajdonosi bevételek</t>
  </si>
  <si>
    <t>Kiszámlázott általános forgalmi adó</t>
  </si>
  <si>
    <t>09406</t>
  </si>
  <si>
    <t>09407</t>
  </si>
  <si>
    <t>Általános forgalmi adó visszatérítése</t>
  </si>
  <si>
    <t>09408</t>
  </si>
  <si>
    <t>Kamatbevételek</t>
  </si>
  <si>
    <t>09409</t>
  </si>
  <si>
    <t>Egyéb pénzügyi műveletek bevételei</t>
  </si>
  <si>
    <t>09410</t>
  </si>
  <si>
    <t>Egyéb működési bevételek</t>
  </si>
  <si>
    <t>0934</t>
  </si>
  <si>
    <t>Vagyoni típusú adók</t>
  </si>
  <si>
    <t>0936</t>
  </si>
  <si>
    <t>Egyéb közhatalmi bevétel</t>
  </si>
  <si>
    <t>Helyszíni-, közigazgatási- és szabálysértési bírság</t>
  </si>
  <si>
    <t>09354</t>
  </si>
  <si>
    <t>09355</t>
  </si>
  <si>
    <t>Talajterhelési díj</t>
  </si>
  <si>
    <t>Gépjárműadók</t>
  </si>
  <si>
    <t>09351</t>
  </si>
  <si>
    <t>0935</t>
  </si>
  <si>
    <t>Termékek és szolgáltatások adói</t>
  </si>
  <si>
    <t>Ingatlanok értékesítése</t>
  </si>
  <si>
    <t>0951</t>
  </si>
  <si>
    <t>0953</t>
  </si>
  <si>
    <t>Egyéb tárgyi eszköz értékesítése</t>
  </si>
  <si>
    <t>0954</t>
  </si>
  <si>
    <t>Részesedések értékesítése</t>
  </si>
  <si>
    <t>09112</t>
  </si>
  <si>
    <t>09113</t>
  </si>
  <si>
    <t>09114</t>
  </si>
  <si>
    <t>09115</t>
  </si>
  <si>
    <t>Működési célú központosított előirányzatok</t>
  </si>
  <si>
    <t>0916</t>
  </si>
  <si>
    <t>Egyéb  működési célú, támogatások bevételei államháztartáson belülről</t>
  </si>
  <si>
    <t>0921</t>
  </si>
  <si>
    <t>Felhalmozási célú önkormányzati támogatások</t>
  </si>
  <si>
    <t>0925</t>
  </si>
  <si>
    <t>0963</t>
  </si>
  <si>
    <t>Egyéb működési célú átvett pénzeszköz</t>
  </si>
  <si>
    <t>0972</t>
  </si>
  <si>
    <t>Felhalmozási célú visszatérítendő támogatások kölcsönök visszatérülése államháztartáson kívülről</t>
  </si>
  <si>
    <t>09812</t>
  </si>
  <si>
    <t>Belföldi értékpapírok bevételei</t>
  </si>
  <si>
    <t>09811</t>
  </si>
  <si>
    <t>Hitel-, kölcsönfelvétel államháztartáson kívülről</t>
  </si>
  <si>
    <t>09813</t>
  </si>
  <si>
    <t>Maradvány igénybevétele</t>
  </si>
  <si>
    <t>09816</t>
  </si>
  <si>
    <t>Központi, irányítószervi támogatás</t>
  </si>
  <si>
    <t>Egyéb közhatalmi bevételek</t>
  </si>
  <si>
    <t>3. POLGÁRMESTERI HIVATAL  KÖLTSÉGVETÉSI KIADÁSAI</t>
  </si>
  <si>
    <t xml:space="preserve"> ÖNKORMÁNYZAT ÁLTAL NYÚJTOTT MŰKÖDÉSI ÉS FELHALMOZÁSI CÉLÚ TÁMOGATÁSOK  </t>
  </si>
  <si>
    <t xml:space="preserve">ebből  nph finanszírozás </t>
  </si>
  <si>
    <t>Nagykőrösi Szolgáltató Központ</t>
  </si>
  <si>
    <t>Nagykőrösi  Szolgáltató Központ</t>
  </si>
  <si>
    <t>1.NAGYKŐRÖSI SZOLGÁLTATÓ KÖZPONT KIADÁSAI</t>
  </si>
  <si>
    <t>2. NAGYKŐRÖS VÁROS ÖNKORMÁNYZAT</t>
  </si>
  <si>
    <t>FELÚJÍTÁSOK</t>
  </si>
  <si>
    <t>CÉLTARTALÉKOK ÖSSZESEN</t>
  </si>
  <si>
    <t>2.NAGYKŐRÖS VÁROS ÖNKORMÁNYZAT  KIADÁSAI</t>
  </si>
  <si>
    <t>ÖSSZESEN</t>
  </si>
  <si>
    <t>Megnevezése</t>
  </si>
  <si>
    <t>Hulladékszállítási kedvezmény</t>
  </si>
  <si>
    <t>Önkormányzati segély</t>
  </si>
  <si>
    <t xml:space="preserve">Köztemetés </t>
  </si>
  <si>
    <t>Rendkívüli átmeneti segély</t>
  </si>
  <si>
    <t>Céltartalék nyári szociális étkezés, napközis tábor szervezés</t>
  </si>
  <si>
    <t>Gyermekétkeztetés támogatása</t>
  </si>
  <si>
    <t>Nyugdíjas Szövetség bérleti díj támogatása</t>
  </si>
  <si>
    <t>Arany János Kulturális Központ helységeinek igénybevevő szervezetek támogatása</t>
  </si>
  <si>
    <t>Kézmű Kft. Bérleti díj támogatása</t>
  </si>
  <si>
    <t>Általános és középiskolai ösztöndíja, tehetséggondozás</t>
  </si>
  <si>
    <t>Lakosság közműfejlesztési támogatása</t>
  </si>
  <si>
    <t>Céltartalék szilárd hulladékgyűjtés finanszírozására</t>
  </si>
  <si>
    <t>- Temetőhegy úépítése lakossági hozzájárulás</t>
  </si>
  <si>
    <t>- Gulyás utca útépítése lakossági hozzájárulás</t>
  </si>
  <si>
    <t>Országzászló állítása</t>
  </si>
  <si>
    <t>2014.évi terv</t>
  </si>
  <si>
    <t>2013. évben pénzügyileg teljesített</t>
  </si>
  <si>
    <t>Módosított előirányzat …………….. rendelet</t>
  </si>
  <si>
    <t>Belföldi értékpapirok bevételei</t>
  </si>
  <si>
    <t>Hitel-, kölcsöntörlesztés államháztartáson kívülre</t>
  </si>
  <si>
    <t xml:space="preserve">Belföldi értékpapírok kiadásai </t>
  </si>
  <si>
    <t>Ingatlanvásárlás</t>
  </si>
  <si>
    <t>Ingatlanvásárlás előzetesen felszámított általános forgalmi adó</t>
  </si>
  <si>
    <t>Összesen      ezer Ft</t>
  </si>
  <si>
    <t>Egyéb működési célú kiadás</t>
  </si>
  <si>
    <t>Nagykőrösi Bóbita Óvoda</t>
  </si>
  <si>
    <t>Nagykőrösi Kalocsa Balázs Óvoda</t>
  </si>
  <si>
    <t>Nagykőrösi Hétszínvirág Óvoda</t>
  </si>
  <si>
    <t>Nagykőrösi Humánszolgáltató Központ</t>
  </si>
  <si>
    <t>Nagykőrösi Arany János Kulturális Központ</t>
  </si>
  <si>
    <t>2012. évi tényadatok</t>
  </si>
  <si>
    <t>Céltartalék 2014. évi választások kiadásaira</t>
  </si>
  <si>
    <t>Nem közművel összegyűjtött ht. Szennyvíz ártalmatlanítása</t>
  </si>
  <si>
    <t>Szociális gyermekjóléti alapszolgáltatások általános feladatai</t>
  </si>
  <si>
    <t>Gyermekek napközbeni ellátása</t>
  </si>
  <si>
    <t xml:space="preserve">A finanszírozás szempontjából elismert szakmai dolgozók bértámogatása </t>
  </si>
  <si>
    <t xml:space="preserve">Intézmény-üzemeltetési támogatás </t>
  </si>
  <si>
    <t>Települési önkormányzatok szociális és gyermekjóléti és gyermekétkeztetési feladatainak támogatása</t>
  </si>
  <si>
    <t>Lakott külterülettel kapcsolatos feladatok támogatása</t>
  </si>
  <si>
    <t>Egyes jövedelempótló támogatások visszaigénylése</t>
  </si>
  <si>
    <t>Önkormányzati lakások  és nem lakáscélú ingatlanok felújítása ÁFA</t>
  </si>
  <si>
    <t>2014.</t>
  </si>
  <si>
    <t>Auguszt.</t>
  </si>
  <si>
    <t>Szept.</t>
  </si>
  <si>
    <t>Okt.</t>
  </si>
  <si>
    <t>Nov.</t>
  </si>
  <si>
    <t>Dec.</t>
  </si>
  <si>
    <t>Összesen:</t>
  </si>
  <si>
    <t>Nyitó pénzkészlet</t>
  </si>
  <si>
    <t>-----</t>
  </si>
  <si>
    <t>Bevételek összesen:</t>
  </si>
  <si>
    <t>Egyéb felhalmozási kiadások</t>
  </si>
  <si>
    <t>Kiadások összesen:</t>
  </si>
  <si>
    <t>Egyenleg (11-21)</t>
  </si>
  <si>
    <t xml:space="preserve">  Önkormányzat likviditási terve
2014. évre</t>
  </si>
  <si>
    <t>ezer Ft</t>
  </si>
  <si>
    <t>ÁROP-3.A.2-2013-2013-0035  Szervezetfejlesztés Nagykőrös Város Önkormányzatánál</t>
  </si>
  <si>
    <t>2013. évi tény</t>
  </si>
  <si>
    <t>KEOP-7.1.0/11-2011-0007 Nagykőrös Város Ivóvízminőség javító beruházása előkészítő szakasz</t>
  </si>
  <si>
    <t>KEOP-1.3.0/09-11-2013-00 Nagykőrös Város Ivóvízminőség javító beruházás megvalósítása</t>
  </si>
  <si>
    <t>2015.évi terv</t>
  </si>
  <si>
    <t>KMOP-3.3.3/13-2013-0035  Nagykőrösi Polgármesteri Hivatal intézményére napelemes rendszer telepítése</t>
  </si>
  <si>
    <t>A pálfájai oktatóközpont üzemeltetése (LIFE Nature)</t>
  </si>
  <si>
    <t>KEOP-7.1.0/11-2011-0007 Nagykőrös Város Ivóvízminőség javító beruházása BM EU Önerő Alap támogatás</t>
  </si>
  <si>
    <t>Települési önkormányzatok muzeális intézményi feladatainak támogatása</t>
  </si>
  <si>
    <t>Önkormányzat által nyújtott támogatás helyiségek bérleti díjának átvállalásával</t>
  </si>
  <si>
    <t xml:space="preserve">1. NAGYKŐRÖSI SZOLGÁLTATÓ KÖZPONT BEVÉTELEI </t>
  </si>
  <si>
    <t>A települési önkormányzatok egyes köznevelési és gyermekétkeztetési feladatainak támogatása</t>
  </si>
  <si>
    <t>Önkormányzati hivatal működésének támogatása</t>
  </si>
  <si>
    <t>Közutak fenntartásának támogatása</t>
  </si>
  <si>
    <t>Egyéb kötelező önkormányzati feladatok</t>
  </si>
  <si>
    <t>Óvodapedagógusok, és az óvodapedagógusok nevelő munkáját közvetlenül segítők bértámogatása</t>
  </si>
  <si>
    <t>Óvodaműködtetési támogatás</t>
  </si>
  <si>
    <t>Köznevelési intézmények kiegészítő támogatása</t>
  </si>
  <si>
    <t>MŰKÖDÉSI CÉLÚ TÁMOGATÁSOK ÁLLAMHÁZTATÁSON BELÜLRŐL</t>
  </si>
  <si>
    <t>- Előző évi működési célú előirányzat maradvány, pénzmaradvány</t>
  </si>
  <si>
    <t>- Előző évi felhalmozási célú előirányzat maradvány, pénzmaradvány</t>
  </si>
  <si>
    <t>- Dolgozók lakásépítésének és vásárlásának támogatása</t>
  </si>
  <si>
    <t>- Önkormányzati helyi lakásépítés és vásárlás támogatása</t>
  </si>
  <si>
    <t>- Temetőhegyi beruházásokhoz nyújtott kölcsönök visszatérülése</t>
  </si>
  <si>
    <t>- Polgárrá fogadás</t>
  </si>
  <si>
    <t xml:space="preserve"> - Járművek értékesítése</t>
  </si>
  <si>
    <t xml:space="preserve"> - Gépek berendezések értékesítése</t>
  </si>
  <si>
    <t xml:space="preserve"> - Önkormányzati egyéb helyiségek értékesítése</t>
  </si>
  <si>
    <t xml:space="preserve"> - Önkormányzati lakások értékesítése</t>
  </si>
  <si>
    <t xml:space="preserve"> - Épület, építmény értékesítés telekhányaddal</t>
  </si>
  <si>
    <t xml:space="preserve"> - Telek értékesítés</t>
  </si>
  <si>
    <t xml:space="preserve"> - Működéssel kapcsolatos ÁFA bevételek                        </t>
  </si>
  <si>
    <t xml:space="preserve"> - Felhalmozással kapcsolatos ÁFA bevételek</t>
  </si>
  <si>
    <t>Kiszámlázott ÁFA</t>
  </si>
  <si>
    <t>Önkormányzati egyéb helyiségek bérbeadásából származó jövedelem</t>
  </si>
  <si>
    <t>Önkormányzati lakások lakbérbevétele</t>
  </si>
  <si>
    <t>Piac, vásár használati díja</t>
  </si>
  <si>
    <t>Víziközmű használati díja ( szennyvíz)</t>
  </si>
  <si>
    <t>Víziközmű használati díja ( ivóvíz)</t>
  </si>
  <si>
    <t xml:space="preserve">Adóbevételekhez bevételekhez kapcsolódó pótlékok, bírságok </t>
  </si>
  <si>
    <t>- Lakossági közműfejlesztési támogatás</t>
  </si>
  <si>
    <t>- Települési és területi kisebbségi önkormányzatok támogatása</t>
  </si>
  <si>
    <t>- Szociális foglalkoztatás finanszírozása</t>
  </si>
  <si>
    <t>- Mezei őrszolgálat támogatása</t>
  </si>
  <si>
    <t>- Orvosi ügyelet ellátása (Kocsér, Nyársapát),fogorvosi praxis 
   helyettesítésének támogatása</t>
  </si>
  <si>
    <t>- Jelzőrendszeres házi segítségnyújtás</t>
  </si>
  <si>
    <t>- Támogató szolgáltatás finanszírozása  TSZ-226/0-2008</t>
  </si>
  <si>
    <t>1. NAGYKŐRÖSI SZOLGÁLTATÓ KÖZPONT</t>
  </si>
  <si>
    <t xml:space="preserve">NAGYKŐRÖS VÁROS ÖNKORMÁNYZAT 
ÁLTALÁNOS ÉS CÉLTARTALÉKAI
</t>
  </si>
  <si>
    <t>NAGYKŐRÖS VÁROS ÖNKORMÁNYZAT LÉTSZÁM ADATAI</t>
  </si>
  <si>
    <t>Kezességvállalás a Nagykőrösi Víziközmű Társulat hiteléhez 
(aktuális tőke és kamat fizetés)</t>
  </si>
  <si>
    <t>Helyi adók</t>
  </si>
  <si>
    <t>Tárgyévben keletkezett, illetve keletkező, 
tárgyévet terhelő fizetési kötelezettség</t>
  </si>
  <si>
    <t xml:space="preserve">   ÖNKORMÁNYZAT ÁLTAL FOLYÓSÍTOTT ELLÁTOTTAK PÉNZBELI JUTTATÁSAI</t>
  </si>
  <si>
    <t xml:space="preserve"> NAGYKŐRÖSI POLGÁRMESTERI HIVATAL ÁLTAL FOLYÓSÍTOTT ELLÁTOTTAK PÉNZBELI JUTTATÁSAI </t>
  </si>
  <si>
    <t>2013. évi 
várható tényadatok</t>
  </si>
  <si>
    <t>ELŐIRÁNYZAT FELHASZNÁLÁSI ÜTEMTERV</t>
  </si>
  <si>
    <t>337.500 Ft/év+áfa</t>
  </si>
  <si>
    <t>525.000 Ft/negyedév+áfa</t>
  </si>
  <si>
    <t>300.000 Ft</t>
  </si>
  <si>
    <t xml:space="preserve">-ebből:        Építményadó </t>
  </si>
  <si>
    <t>- Közfoglalkoztatás támogatása</t>
  </si>
  <si>
    <t>Közfoglalkoztatás</t>
  </si>
  <si>
    <t>0973</t>
  </si>
  <si>
    <t>Egyéb felhalmozási célú átvett pénzeszközök</t>
  </si>
  <si>
    <t>Több éves kihatással járó kötelezettségvállalások - Nagykőrös Város Önkormányzat</t>
  </si>
  <si>
    <t>Szerződés azonosító</t>
  </si>
  <si>
    <t>Erdőtelepítési és ápolási munkák elvégzése</t>
  </si>
  <si>
    <t>553.500 Ft+áfa</t>
  </si>
  <si>
    <t>S-11-316</t>
  </si>
  <si>
    <t>Köva-Kom Nonprofit Zrt.</t>
  </si>
  <si>
    <t>Önkormányzati tulajdonban lévő lakás és nem lakás célú ingatlanok kezelése</t>
  </si>
  <si>
    <t>389 000 Ft/hó</t>
  </si>
  <si>
    <t>S-12-112</t>
  </si>
  <si>
    <t>23.955Ft/hó</t>
  </si>
  <si>
    <t>S-12-128</t>
  </si>
  <si>
    <t>Üzemeltetési szerződés a Csónakázó tó és környezetére</t>
  </si>
  <si>
    <t>2.008.000 Ft/év+áfa</t>
  </si>
  <si>
    <t>S-13-15</t>
  </si>
  <si>
    <t>Köztisztasági szerződés</t>
  </si>
  <si>
    <t>29.509.119 Ft+áfa</t>
  </si>
  <si>
    <t>S-13-30</t>
  </si>
  <si>
    <t>Profix Computer Kft.</t>
  </si>
  <si>
    <t>Profix-Prodoki Plus szoftverkövetési szerződés</t>
  </si>
  <si>
    <t>110.236 Ft/félév+áfa</t>
  </si>
  <si>
    <t>S-13-41</t>
  </si>
  <si>
    <t>Nyugdíjasok Szövetsége</t>
  </si>
  <si>
    <t>Nagykőrös, Dalmady utca 3. sz. alatti ingatlan helyiségei bérleti díjának részbeni átvállalása</t>
  </si>
  <si>
    <t>52.796 Ft/hó</t>
  </si>
  <si>
    <t>S-13-42</t>
  </si>
  <si>
    <t>Kézmű Fővárosi Kézműipari Nonprofit Kézműipari Nonprofit Kft.</t>
  </si>
  <si>
    <t>Nagykőrös, Kossuth Lajos út 2. sz. alatti ingatlan helyiségei bérleti díjának részbeni átvállalása</t>
  </si>
  <si>
    <t>246.380Ft/hó</t>
  </si>
  <si>
    <t>S-13-43</t>
  </si>
  <si>
    <t>Kül- és belterületi földutak rendezése</t>
  </si>
  <si>
    <t>megrendelők alapján</t>
  </si>
  <si>
    <t>S-13-76</t>
  </si>
  <si>
    <t>Stamperoil Kft.</t>
  </si>
  <si>
    <t>S-13-99</t>
  </si>
  <si>
    <t>Magyar Vöröskereszt Pest Megyei Szervezete</t>
  </si>
  <si>
    <t>Szociális feladatok  elvégzése</t>
  </si>
  <si>
    <t>S-13-126</t>
  </si>
  <si>
    <t>Parlagfű és allargén gyom elleni védekezési munkák</t>
  </si>
  <si>
    <t>S-13-129</t>
  </si>
  <si>
    <t>Növényvédő és Kártevő Kft.</t>
  </si>
  <si>
    <t>Rágcsálómentesítési feladatok elvégzése</t>
  </si>
  <si>
    <t>S-13-138</t>
  </si>
  <si>
    <t>ÁÜTŐ Kft.</t>
  </si>
  <si>
    <t>KEOP-1.3.0/09-11-2013-22</t>
  </si>
  <si>
    <t>14.490.000 Ft+áfa</t>
  </si>
  <si>
    <t>S-13-139</t>
  </si>
  <si>
    <t>Strategic Scope Kommunikációs Ügynökség Kft.</t>
  </si>
  <si>
    <t>2.896.400 Ft+áfa</t>
  </si>
  <si>
    <t>S-13-152</t>
  </si>
  <si>
    <t>Datakart Mérnöki Tanácsadó, Szolgáltató és Kereskedelmi Kft.</t>
  </si>
  <si>
    <t>Térinformatikai alaprendszer</t>
  </si>
  <si>
    <t>S-13-153</t>
  </si>
  <si>
    <t>Nagykőrös belterület digitális földmérési alaptérkép</t>
  </si>
  <si>
    <t>252.441 Ft/év+áfa</t>
  </si>
  <si>
    <t>S-13-154</t>
  </si>
  <si>
    <t>Ügyfél- és terméktámogatás</t>
  </si>
  <si>
    <t>S-13-184</t>
  </si>
  <si>
    <t>Unicredit Bank Hungary Zrt.</t>
  </si>
  <si>
    <t>Feljesztési hitelszerződés Fűzfás út burkolatának építése projekt finanszírozása</t>
  </si>
  <si>
    <t>83.173.809 Ft + kamat</t>
  </si>
  <si>
    <t>S-13-208</t>
  </si>
  <si>
    <t>Csoki Patika Kft.</t>
  </si>
  <si>
    <t>Több éves kihatással járó kötelezettségvállalások - Nagykőrösi Polgármesteri Hivatal</t>
  </si>
  <si>
    <t>2014. évi kötelezettségvállalás bruttó összege (Ft)</t>
  </si>
  <si>
    <t>S-13-73</t>
  </si>
  <si>
    <t>Abacus  Számítástechnikai Kft.</t>
  </si>
  <si>
    <t>Általánydíjas szerződés a WinSzoc (Szociális Támogatások rendszere) szoftverkövetésére</t>
  </si>
  <si>
    <t>39.200 Ft/negyedév+áfa</t>
  </si>
  <si>
    <t>S-13-133</t>
  </si>
  <si>
    <t>Aegon Magyarország Zrt.</t>
  </si>
  <si>
    <t>Csoportos biztosítási kötvény</t>
  </si>
  <si>
    <t>158.500 Ft/év</t>
  </si>
  <si>
    <t>158.500 Ft</t>
  </si>
  <si>
    <t>S-13-109</t>
  </si>
  <si>
    <t>Allianz Hungária Biztosító Zrt.</t>
  </si>
  <si>
    <t>LIK-629 Casco biztosítás</t>
  </si>
  <si>
    <t>52.200 Ft/év</t>
  </si>
  <si>
    <t>S-13-110</t>
  </si>
  <si>
    <t>LIK-629 Kötelező gépjármű-felelősségi biztosítás</t>
  </si>
  <si>
    <t>34.476 Ft/év</t>
  </si>
  <si>
    <t>S-13-151</t>
  </si>
  <si>
    <t>LXB-537 Kötelező gépjármű-felelősségbiztosítás</t>
  </si>
  <si>
    <t>27.768 Ft/év</t>
  </si>
  <si>
    <t>S-09-282</t>
  </si>
  <si>
    <t>Allianz Hungária Zrt.</t>
  </si>
  <si>
    <t>LJT-251 Casco biztosítás</t>
  </si>
  <si>
    <t>2014. 04.01-től éves díj: 77.388 Ft</t>
  </si>
  <si>
    <t>S-13-147</t>
  </si>
  <si>
    <t>Bácsvíz Zrt. (Kőrösi Vagyonkezelő Zrt.)</t>
  </si>
  <si>
    <t>Szolgáltatási szerződés gazdálkodó szervezet részére végzett szennyvízelvezetés és ivóvíz szolgáltatásra (Szabadság tér 4.)</t>
  </si>
  <si>
    <t>S-14-13</t>
  </si>
  <si>
    <t>Szolgáltatási szerződés gazdálkodó szervezet részére végzett szennyvízelvezetés és ivóvíz szolgáltatásra (Szabadság tér 5.)</t>
  </si>
  <si>
    <t>S-13-74</t>
  </si>
  <si>
    <t>Civilsoft-it Informatikai Kft.</t>
  </si>
  <si>
    <t>Szerződés Civil Üzlet v8.x (Kereskedelmi tevékenységek) programrendszer naprakészen tartása</t>
  </si>
  <si>
    <t>34.797 Ft/év+áfa</t>
  </si>
  <si>
    <t>S-13-101</t>
  </si>
  <si>
    <t>Complex Kiadó Kft.</t>
  </si>
  <si>
    <t>CompLex céginfo előfizetés</t>
  </si>
  <si>
    <t>121.360 Ft/év+áfa</t>
  </si>
  <si>
    <t>S-13-112</t>
  </si>
  <si>
    <t>Önkormányzati Jogtár Plusz</t>
  </si>
  <si>
    <t>520.044 Ft+áfa</t>
  </si>
  <si>
    <t>S-13-47</t>
  </si>
  <si>
    <t>Design Termelő, Szolgáltató, Kereskedelmi Kft.</t>
  </si>
  <si>
    <t>Veszélyes hulladékok kezelése</t>
  </si>
  <si>
    <t>S-13-4</t>
  </si>
  <si>
    <t>Teljeskörű jogi képviselet</t>
  </si>
  <si>
    <t>100.000Ft/negyedév+áfa</t>
  </si>
  <si>
    <t>S-11-287</t>
  </si>
  <si>
    <t>eKözig Regionális Informatikai Szolgáltató Központ Zrt.</t>
  </si>
  <si>
    <t>Önkormányzati alapnyilvántartásokat támogató helyi nyilvántartó rendszer felhasználói jogának biztosítása</t>
  </si>
  <si>
    <t>174.720 Ft+áfa</t>
  </si>
  <si>
    <t>S-13-104</t>
  </si>
  <si>
    <t>E-Szoftverfejlesztő Kft.</t>
  </si>
  <si>
    <t>Rendszerkövetési szolgáltatás</t>
  </si>
  <si>
    <t>81.900 Ft/év+áfa</t>
  </si>
  <si>
    <t>S-13-72</t>
  </si>
  <si>
    <t>F.F Fémfeldolgozó Kereskedelmi és Szolgáltató Kft.</t>
  </si>
  <si>
    <t>Kartontárolók, MOBIL ORG szekrények rendszeres karbantartása</t>
  </si>
  <si>
    <t>First Step Bt.</t>
  </si>
  <si>
    <t>FIRSTEP WEB-Tárhely Szolgáltatási Szerzőzés</t>
  </si>
  <si>
    <t>12.760 Ft+áfa</t>
  </si>
  <si>
    <t>Gdf Suez Energia Magyarország Zrt.</t>
  </si>
  <si>
    <t>Teljes ellátás alapú földgáz energia</t>
  </si>
  <si>
    <t>S-13-111</t>
  </si>
  <si>
    <t>Generali-Providencia Biztosító Rt.</t>
  </si>
  <si>
    <t>Általános vagyonbiztosítási szerződés</t>
  </si>
  <si>
    <t>499.555 Ft/negyedév</t>
  </si>
  <si>
    <t>S-13-78</t>
  </si>
  <si>
    <t>Globomax Elektronikai Kft.</t>
  </si>
  <si>
    <t>Mikrovoks szavazatszámláló, konferencia és hangosító rendzser 1 db számjegyes kijelző táblával javítása és karbantartása</t>
  </si>
  <si>
    <t>64.797 Ft/negyedév+áfa</t>
  </si>
  <si>
    <t>S-12-168</t>
  </si>
  <si>
    <t>GreenDoc Systems Kft.</t>
  </si>
  <si>
    <t>WinPA Postázó szoftver támogatása és nyomonkövetése</t>
  </si>
  <si>
    <t>61.200 Ft/év+áfa</t>
  </si>
  <si>
    <t>S-13-161</t>
  </si>
  <si>
    <t>Hungaro-Force&amp; Monitoring Kft.</t>
  </si>
  <si>
    <t>Nagykőrösi Polgármesteri Hivatal vagyonvédelmi rendszerének távfelügyelete (Szabadság tér 4. és 5.)</t>
  </si>
  <si>
    <t>6.000 Ft/hó+áfa</t>
  </si>
  <si>
    <t>S-13-107</t>
  </si>
  <si>
    <t>K&amp;H Biztosító Zrt.</t>
  </si>
  <si>
    <t>LJT-251 kötelező gépjármű-felelősségi biztosítás</t>
  </si>
  <si>
    <t>6.778 Ft/negyedév</t>
  </si>
  <si>
    <t>S-12-80</t>
  </si>
  <si>
    <t>Korend Rendszerház Kft.</t>
  </si>
  <si>
    <t>GORDIUS Általánydíjas Üzemeltetési Nyomkövetési szerződés</t>
  </si>
  <si>
    <t>86.900Ft/hó+áfa</t>
  </si>
  <si>
    <t>S-13-79</t>
  </si>
  <si>
    <t>Hulladékszállítási szerződés (Szabadság tér 4. és 5.)</t>
  </si>
  <si>
    <t>11.682 Ft/hó+áfa</t>
  </si>
  <si>
    <t>S-11-56</t>
  </si>
  <si>
    <t>MAGÓ Software Zrt.</t>
  </si>
  <si>
    <t>WIKT 7.1 Ügyiratkezelő (iktató) rendszer karbantartása</t>
  </si>
  <si>
    <t>48.000 Ft/negyedév+áfa</t>
  </si>
  <si>
    <t>S-13-67</t>
  </si>
  <si>
    <t>Magyar Posta Zrt.</t>
  </si>
  <si>
    <t>Díjhitelről, elektronikus feladójegyzékről</t>
  </si>
  <si>
    <t>S-12-184</t>
  </si>
  <si>
    <t>Magyar Telekom Nyrt.</t>
  </si>
  <si>
    <t>Előfizetői szerződés Telefonvonal nélküli BDSL 15M-szolgáltatás igénybevételére</t>
  </si>
  <si>
    <t>13.900 Ft/hó+áfa</t>
  </si>
  <si>
    <t>S-13-98</t>
  </si>
  <si>
    <t>Telefon központban SIM kártyák előfiz. és forgalom</t>
  </si>
  <si>
    <t xml:space="preserve">  2004.11.19</t>
  </si>
  <si>
    <t>S-13--102</t>
  </si>
  <si>
    <t>Előfizetői szerződés BDSL-szolgáltatás igénybevételére</t>
  </si>
  <si>
    <t>9.500 Ft/hó+áfa</t>
  </si>
  <si>
    <t>S-13-103</t>
  </si>
  <si>
    <t>Előfizetői szerződés BDSL PLUSZ-szolgáltatás igénybevételére</t>
  </si>
  <si>
    <t>16.500 Ft/hó+áfa</t>
  </si>
  <si>
    <t>S-13-150</t>
  </si>
  <si>
    <t>Előfizetői szerződés ISDN 30 szolgáltatások igénybevételére 100 db előfizetői szám</t>
  </si>
  <si>
    <t>S-12-53</t>
  </si>
  <si>
    <t>Marton Szakértő Kft.</t>
  </si>
  <si>
    <t>NAT emelőgépek felülvizsgálata</t>
  </si>
  <si>
    <t>23.880 Ft/év+áfa</t>
  </si>
  <si>
    <t>S-10-591</t>
  </si>
  <si>
    <t>MID-ROLL Lift Services Kft.</t>
  </si>
  <si>
    <t>1 lépcsőnjáró mozgássérült-személyemelő gép karbantartása</t>
  </si>
  <si>
    <t>3.700 Ft/hó+áfa</t>
  </si>
  <si>
    <t>S-14-9</t>
  </si>
  <si>
    <t>Nagykőrösi Rehabilitációs Szakkórház és Rendelőintézet</t>
  </si>
  <si>
    <t>Foglalkozás-egészségügyi szolgáltatás</t>
  </si>
  <si>
    <t>OMV Hungária Zrt.</t>
  </si>
  <si>
    <t>Card-Routex kártyaszerződés</t>
  </si>
  <si>
    <t>S-12-147</t>
  </si>
  <si>
    <t>Önkormányzati Tűzoltóság Nagykőrös</t>
  </si>
  <si>
    <t>Szabadság tér 4. automatikus tűzjelző  rendszer jeleinek fogadása</t>
  </si>
  <si>
    <t>100 Ft/év</t>
  </si>
  <si>
    <t>S-13-70</t>
  </si>
  <si>
    <t>Pasarét Auditor Könyvvizsgáló és Tanácsadó Kft.</t>
  </si>
  <si>
    <t>Könyvizsgálói feladatok ellátása</t>
  </si>
  <si>
    <t>124.200 Ft/hó+áfa</t>
  </si>
  <si>
    <t>S-13-96</t>
  </si>
  <si>
    <t xml:space="preserve">SGS Hungária </t>
  </si>
  <si>
    <t>Tanúsítási szolgáltatások</t>
  </si>
  <si>
    <t>3 éves tanúsítási ciklus végéig</t>
  </si>
  <si>
    <t>558.000 Ft+áfa</t>
  </si>
  <si>
    <t>S-13-3</t>
  </si>
  <si>
    <t>Signalmik Kereskedelmi és Szolgáltató Kft.</t>
  </si>
  <si>
    <t>Szabadság tér 5. gázveszélyjelző berendezések karbantartása</t>
  </si>
  <si>
    <t>60.450 Ft/2 hó+áfa</t>
  </si>
  <si>
    <t>S-12-86</t>
  </si>
  <si>
    <t>"Közérdekű adatok" informatikai teendőinek ellátása</t>
  </si>
  <si>
    <t>29.955 Ft/hó</t>
  </si>
  <si>
    <t>S-14-12</t>
  </si>
  <si>
    <t>Telenor Magyarország Zrt.</t>
  </si>
  <si>
    <t>Komplex mobil távközlési szolgáltatás nyújtása</t>
  </si>
  <si>
    <t>S-13-80</t>
  </si>
  <si>
    <t>Thermotrade Kft.</t>
  </si>
  <si>
    <t>Szabadság tér 5. HOVAL kazánok karbantartása</t>
  </si>
  <si>
    <t>44.929 Ft/negyedév+áfa</t>
  </si>
  <si>
    <t>S-13-82</t>
  </si>
  <si>
    <t>Tigáz Zrt.</t>
  </si>
  <si>
    <t>Szabadság tér 4. gázdíj</t>
  </si>
  <si>
    <t>S-13-146</t>
  </si>
  <si>
    <t>T-Systems Magyarország Zrt.</t>
  </si>
  <si>
    <t>Telefonközpont rendzseres karbantartása</t>
  </si>
  <si>
    <t>60 hónap (5 év) a műszaki átadás-átvétel dátumától számítva</t>
  </si>
  <si>
    <t>339.176 Ft/hó+áfa</t>
  </si>
  <si>
    <t>S-13-108</t>
  </si>
  <si>
    <t>Uniqa Biztosító Zrt.</t>
  </si>
  <si>
    <t>LXB-537 Casco biztosítás</t>
  </si>
  <si>
    <t>12.450Ft/hó</t>
  </si>
  <si>
    <t>Szerződés 
azonosító</t>
  </si>
  <si>
    <t>Lakásbérlemények: 
Üzemeltetés: 855.000 Ft/hó+áfa Karbantartás: 855.000 Ft/hó+áfa Nem lakáscélú bérlemények: Karbantartás: 723.000 Ft/hó+áfa Karbantartás: 723.000 Ft/hó+áfa</t>
  </si>
  <si>
    <t>Ügyfél- és terméktámogatási szolgáltatás: 392.000 Ft/év+áfa Nagykőrös csapadékcsatorna 
e-közmű adatszolgáltatás: 
90.000 Ft/év+áfa</t>
  </si>
  <si>
    <t>2014. évi 
kötelezettség vállalás br. összege (Ft)</t>
  </si>
  <si>
    <t xml:space="preserve">NAGYKŐRÖS VÁROS ÖNKORMÁNYZAT KÖLTSÉGVETÉSI MÉRLEGE
FELADATOK SZERINTI BONTÁSBAN
</t>
  </si>
  <si>
    <t>Céltartalék Nagykőrösi Arany János Kulturális Központ rendezvényeire</t>
  </si>
  <si>
    <t>Gazdaságfejlesztési beruházás</t>
  </si>
  <si>
    <t>Temetőhegyi önerős utak építése</t>
  </si>
  <si>
    <t>2014.évi infrastrukturális fejlesztések</t>
  </si>
  <si>
    <t>Víziközművagyon 2014. évi felújítása</t>
  </si>
  <si>
    <t>Halmozott előirányzat maradvány (folyószámla hitel)</t>
  </si>
  <si>
    <t xml:space="preserve">- Ellátottak pénzbeli juttatásaiból 
   az elszámolást követő évbentörténő visszafizetések </t>
  </si>
  <si>
    <t>FELHALMOZÁSI CÉLÚ TÁMOGATÁSOK 
ÁLLAMHÁZTATÁSON BELÜLRŐL</t>
  </si>
  <si>
    <t>MŰKÖDÉSI CÉLÚ TÁMOGATÁSOK 
ÁLLAMHÁZTATÁSON BELÜLRŐL</t>
  </si>
  <si>
    <t>Felhalmozási célú támogatások, felhalmozási célra átadott 
pénzeszközök</t>
  </si>
  <si>
    <t>Kötelező 
feladat</t>
  </si>
  <si>
    <t>Állami 
feladatok</t>
  </si>
  <si>
    <t>- ÁROP-3.A.2-2013-2013-0035  Szervezetfejlesztés 
  Nagykőrös Város Önkormányzatánál</t>
  </si>
  <si>
    <t>Eredeti 
előirányzat</t>
  </si>
  <si>
    <t>Előterjesztett
módosítás</t>
  </si>
  <si>
    <t>Kötelező 
feladatok</t>
  </si>
  <si>
    <t xml:space="preserve">Módosított 
előirányzat 
………………. 
rendelet
</t>
  </si>
  <si>
    <t>Központi irányítás TMK, Cifrakert, Sportpálya</t>
  </si>
  <si>
    <t xml:space="preserve"> Előterjesztett
módosítás </t>
  </si>
  <si>
    <t xml:space="preserve"> Módosított
előirányzat </t>
  </si>
  <si>
    <t>Építésügyi bírság</t>
  </si>
  <si>
    <t>Környezetvédelmi bírság</t>
  </si>
  <si>
    <t xml:space="preserve">  - Bérleti díj bevétel, családi események bevétele</t>
  </si>
  <si>
    <t>Egyéb felhalmozási célú   támogatások bevételei 
államháztartáson belül</t>
  </si>
  <si>
    <t>Rendszeres szociális segély</t>
  </si>
  <si>
    <t>Működési célú támogatások 
államháztartáson belül</t>
  </si>
  <si>
    <t>Felhalmozási célú támogatások 
államháztart. belül</t>
  </si>
  <si>
    <t>Pénzmaradvány felhalmozási célú 
felhasználása</t>
  </si>
  <si>
    <t>Költségvetési hiány külső finanszírozását 
szolgáló finanszírozási műveletek bevételei</t>
  </si>
  <si>
    <t>Felhalmozási célra hosszú lejáratú hitel 
felvétele</t>
  </si>
  <si>
    <t>Beruházás célú előzetesen felszámított adó</t>
  </si>
  <si>
    <t>Céltartalék Országzászló állítására</t>
  </si>
  <si>
    <t>Mezőgazdasági utak fejlesztése - Fűzfás építás</t>
  </si>
  <si>
    <t>Lakásfenntartási támogatás</t>
  </si>
  <si>
    <t>Foglalkoztatás helyettesítő támogatás</t>
  </si>
  <si>
    <t>09405</t>
  </si>
  <si>
    <t>Kamat bevételek</t>
  </si>
  <si>
    <t>Szabadság tér 5. épület</t>
  </si>
  <si>
    <t>Ellátási díjak</t>
  </si>
  <si>
    <t>- Adósságkonszolidáció</t>
  </si>
  <si>
    <t xml:space="preserve"> ebből: Iskola Konyha</t>
  </si>
  <si>
    <t>Nagykőrösi Arany János Kulturális Központ - színházterem felújítás</t>
  </si>
  <si>
    <t>Nagykőrösi Arany János Kulturális Központ - gépbeszerzés</t>
  </si>
  <si>
    <t xml:space="preserve"> ebből: Óvoda Konyha - gépbeszerzés - gépbeszerzés</t>
  </si>
  <si>
    <t xml:space="preserve"> ebből: Központi irányítás TMK, Cifrakert - gépbeszerzés</t>
  </si>
  <si>
    <t xml:space="preserve"> ebből: Parkfenntartás - gépbeszerzés</t>
  </si>
  <si>
    <t xml:space="preserve"> ebből: Köznevelési Intézmények működtetése - gépbeszerzés</t>
  </si>
  <si>
    <t xml:space="preserve"> ebből: Balatonakali tábor - gépbeszerzés</t>
  </si>
  <si>
    <t>Nagykőrösi Humánszolgáltató Központ - gépbeszerzés</t>
  </si>
  <si>
    <t>Nagykőrösi Humánszolgáltató Központ - Bajcsy-Zs.u.4. tetőfelújítás</t>
  </si>
  <si>
    <t xml:space="preserve"> ebből: Köznevelési Intézmények működtetése - tornacsarnok tető felújítás</t>
  </si>
  <si>
    <t xml:space="preserve"> ebből: Központi irányítás TMK, Cifrakert </t>
  </si>
  <si>
    <t xml:space="preserve"> ebből: Balatonakali tábor - fűrdőbővítés</t>
  </si>
  <si>
    <t>Nagykőrösi Bóbita Óvoda - gázkazán felújítás</t>
  </si>
  <si>
    <t>Nagykőrösi Kalocsa Balázs Óvoda - ajtó, ablak felújítás</t>
  </si>
  <si>
    <t>Nagykőrösi Mese-vár Óvoda - kapufelújítás</t>
  </si>
  <si>
    <t>Nagykőrösi Hétszínvirág Óvoda - iroda felújítás</t>
  </si>
  <si>
    <t>Nagykőrösi Bóbita Óvoda - gépbeszerzés</t>
  </si>
  <si>
    <t>Nagykőrösi Hétszínvirág Óvoda - gépbeszerzés</t>
  </si>
  <si>
    <t>Nagykőrösi Mese-vár Óvoda - gépbeszerzés</t>
  </si>
  <si>
    <t>Nagykőrösi Kalocsa Balázs Óvoda - gépbeszerzés</t>
  </si>
  <si>
    <t xml:space="preserve"> ebből: Iskola Konyha - járműbeszerzés</t>
  </si>
  <si>
    <t>Református Temető útfelújításának támogatása</t>
  </si>
  <si>
    <t>Aktuális
módosítás
+ -</t>
  </si>
  <si>
    <t>Jelenleg
módosított</t>
  </si>
  <si>
    <t>Aktuális
módostás
+ -</t>
  </si>
  <si>
    <t>Eddig módosított
előirányzat</t>
  </si>
  <si>
    <t xml:space="preserve"> Eddig 
módosított
előirányzat </t>
  </si>
  <si>
    <t>Eddig 
módosított
előirányzat</t>
  </si>
  <si>
    <t xml:space="preserve">  Eddig
módosított
előirányzat  </t>
  </si>
  <si>
    <t>Eddig
módosított előirányzat</t>
  </si>
  <si>
    <t>Aktulis
módosítás
+ -</t>
  </si>
  <si>
    <t>Aktuális
módosíts
+ -</t>
  </si>
  <si>
    <t>Aktuális
mdosítás
+ -</t>
  </si>
  <si>
    <t>Aktuális
módosítás 
+ -</t>
  </si>
  <si>
    <t>Jelenleg 
módosított</t>
  </si>
  <si>
    <t>Önként 
vállalt 
feladat</t>
  </si>
  <si>
    <t>Immateriális javak beszerzése</t>
  </si>
  <si>
    <t xml:space="preserve">   - Építésügyi bírságból származó bevétel</t>
  </si>
  <si>
    <t>2014. évi bérkompenzáció</t>
  </si>
  <si>
    <t>Muzeális intézmények szakmai támogatása</t>
  </si>
  <si>
    <t>- Közbiztonság növelését szolgáló önkormányzati fejlesztések</t>
  </si>
  <si>
    <t>09401</t>
  </si>
  <si>
    <t>Készletértékesítés</t>
  </si>
  <si>
    <t xml:space="preserve">Könyvtári érdekeltségnövelő </t>
  </si>
  <si>
    <t>Közművelődés érdekeltségnövelő támogatás</t>
  </si>
  <si>
    <t>- Ágazati pótlék</t>
  </si>
  <si>
    <t>- Kp-i költségvetésből 100 %-ban visszaig. Szoc. Támogatások</t>
  </si>
  <si>
    <t>- Alapfokú művészetoktatási feladatok ellátása</t>
  </si>
  <si>
    <t>- Itthon vagy Magyarország támogatása</t>
  </si>
  <si>
    <t>Egyéb szolgáltatások</t>
  </si>
  <si>
    <t>Ivóvíz és szennyvízbekötések támogatása</t>
  </si>
  <si>
    <t>12.</t>
  </si>
  <si>
    <t>Térfigyelő rendszer kiépítése</t>
  </si>
  <si>
    <t>13.</t>
  </si>
  <si>
    <t>Tárgyi eszközök beszerzése</t>
  </si>
  <si>
    <t xml:space="preserve">Ivóvíz minőség javító beruházás </t>
  </si>
  <si>
    <t>ÁROP-3. A.2-2013-2013-0035 szervezetfejlesztés</t>
  </si>
  <si>
    <t>KMOP-3.3.3.-13-2013-35 Napelemes rendszer kiépítése</t>
  </si>
  <si>
    <t>- Ország zászló állítás</t>
  </si>
  <si>
    <t>Víziközművagyon 2014. évi felújítása ÁFA</t>
  </si>
  <si>
    <t>Út, járda parkolóhely kialakítás</t>
  </si>
  <si>
    <t xml:space="preserve">5. </t>
  </si>
  <si>
    <t>Cifrakert, Svájci ház felújítása</t>
  </si>
  <si>
    <t>Cifrakert, Svájci ház felújítása Áfa</t>
  </si>
  <si>
    <t>14.</t>
  </si>
  <si>
    <t>Extrém sportpálya bővítése</t>
  </si>
  <si>
    <t>15.</t>
  </si>
  <si>
    <t>Cegléd-Nyársapát-Nagykőrös Összekötő kerékpár út</t>
  </si>
  <si>
    <t>16.</t>
  </si>
  <si>
    <t>ÁROP-3.A.2-2013-0035 felhalmozsi kiadásai</t>
  </si>
  <si>
    <t>17.</t>
  </si>
  <si>
    <t>ÁROP-3.A.2-2013-0035 felhalmozsi kiadásai ÁFA</t>
  </si>
  <si>
    <t>Ivóvíz- és szennyvízbekötések</t>
  </si>
  <si>
    <t>18.</t>
  </si>
  <si>
    <t>ÖNKORMÁNYZATI BERUHÁZÁSOK, FELÚJÍTÁSOK</t>
  </si>
  <si>
    <t>Eddig
módosított</t>
  </si>
  <si>
    <t>Jelenleg módosított</t>
  </si>
  <si>
    <t>Eddig módosított előirányzat</t>
  </si>
  <si>
    <t>Aktuális módosítás +/-</t>
  </si>
  <si>
    <t>Szabadság tér 4. épület ÁFA</t>
  </si>
  <si>
    <t>- Előző évi működés célú előirányzat maradvány</t>
  </si>
  <si>
    <t>Rendszeres gyermekvédelmi kedvezmény</t>
  </si>
  <si>
    <t>- Rendszeres gyermekvédelmi kedvezmény</t>
  </si>
  <si>
    <t>FELHALMOZÁSI CÉLÚ TÁMOGATÁSOK ÁLLAMHÁZTARTÁSON BELÜLRŐL</t>
  </si>
  <si>
    <t>19.</t>
  </si>
  <si>
    <t>Vasútállomás előtti térfigyelő kamera</t>
  </si>
  <si>
    <t>20.</t>
  </si>
  <si>
    <t>Hild János díj köztéri szobor</t>
  </si>
  <si>
    <t xml:space="preserve">  A 2012. évről áthúzódó bérkompenzáció támogatása</t>
  </si>
  <si>
    <t>Eddig módosított</t>
  </si>
  <si>
    <t>Aktuális módosítás     + -</t>
  </si>
  <si>
    <t>Aktuális módosítás  +/ -</t>
  </si>
  <si>
    <t>Egyéb gép berendezés beszerzés</t>
  </si>
  <si>
    <t>Egyéb gép berendezés beszerzés - Áfa</t>
  </si>
  <si>
    <t>Szabadság tér 4. épület felhalmozási kiadásai</t>
  </si>
  <si>
    <t>Szabadság tér 4. épület felhalmozási kiadásai ÁFA</t>
  </si>
  <si>
    <t>Saját hatáskörben adott pénzügyi ellátás</t>
  </si>
  <si>
    <t>Gépjármű beszerzés</t>
  </si>
  <si>
    <t>Balatonakali/Pálfájai táboroztatás támogatása</t>
  </si>
  <si>
    <t>Hild János Díj köztéri szobor</t>
  </si>
  <si>
    <t xml:space="preserve">Hősök szobra </t>
  </si>
  <si>
    <t>Országzászló állítás</t>
  </si>
  <si>
    <t>Önkormányzati hitelek kiadásai</t>
  </si>
  <si>
    <t>Egyéb bevétel</t>
  </si>
  <si>
    <t>KEOP-7.1.0/11-2011-0007 Nagykőrös Város Ivóvízminőség javító beruházásának megvalósítása Beruházási célú előzetesen felszámított áfa</t>
  </si>
  <si>
    <t>Számítógép, szoftver, nyomtató, fénymásoló és egyéb hardvereszközök beszerzése működéshez</t>
  </si>
  <si>
    <r>
      <t>Aktuális
módosítás</t>
    </r>
    <r>
      <rPr>
        <sz val="11"/>
        <color indexed="8"/>
        <rFont val="Times New Roman"/>
        <family val="1"/>
        <charset val="238"/>
      </rPr>
      <t xml:space="preserve"> </t>
    </r>
    <r>
      <rPr>
        <b/>
        <sz val="11"/>
        <color indexed="8"/>
        <rFont val="Times New Roman"/>
        <family val="1"/>
        <charset val="238"/>
      </rPr>
      <t>+/-</t>
    </r>
  </si>
  <si>
    <t xml:space="preserve">   Nyári gyerek étkezetetés támogatása</t>
  </si>
  <si>
    <t xml:space="preserve">   E-útdíj bevezetésével kapcsolatos bev. Kiesés ellentételezése</t>
  </si>
  <si>
    <t>09116</t>
  </si>
  <si>
    <t>Helyi önkormányzatok kiegészítő támogatásai</t>
  </si>
  <si>
    <t>Adósságkonszolidáció</t>
  </si>
  <si>
    <t>Ágazati pótlék</t>
  </si>
  <si>
    <t>Előző évi működés célú előirányzat maradvány</t>
  </si>
  <si>
    <t>Tehergépjármű bérleti díja</t>
  </si>
  <si>
    <t>2014. év végén fennáló bérleti díj tartozás</t>
  </si>
  <si>
    <t>Céltartalék 2014. évi kintlévőségekre</t>
  </si>
  <si>
    <t>Céltartalék 2014. évi adókövetelésekre</t>
  </si>
  <si>
    <t xml:space="preserve">- Közalapítvány támogatása Országzászló állításhoz díj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</si>
</sst>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#,##0\ &quot;Ft&quot;;[Red]\-#,##0\ &quot;Ft&quot;"/>
    <numFmt numFmtId="41" formatCode="_-* #,##0\ _F_t_-;\-* #,##0\ _F_t_-;_-* &quot;-&quot;\ _F_t_-;_-@_-"/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\ _F_t_-;\-* #,##0\ _F_t_-;_-* &quot;-&quot;??\ _F_t_-;_-@_-"/>
    <numFmt numFmtId="165" formatCode="0.0%"/>
    <numFmt numFmtId="166" formatCode="#,###"/>
    <numFmt numFmtId="167" formatCode="_-* #,##0\ _F_t_-;\-* #,##0\ _F_t_-;_-* &quot;-&quot;?\ _F_t_-;_-@_-"/>
    <numFmt numFmtId="168" formatCode="yyyy\-mm\-dd"/>
    <numFmt numFmtId="169" formatCode="#,##0\ &quot;Ft&quot;"/>
    <numFmt numFmtId="170" formatCode="0.0"/>
    <numFmt numFmtId="171" formatCode="#,##0_ ;\-#,##0\ "/>
  </numFmts>
  <fonts count="140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MS Sans Serif"/>
      <family val="2"/>
      <charset val="238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i/>
      <sz val="11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i/>
      <sz val="10"/>
      <color indexed="8"/>
      <name val="Calibri"/>
      <family val="2"/>
      <charset val="238"/>
    </font>
    <font>
      <i/>
      <sz val="10"/>
      <name val="Calibri"/>
      <family val="2"/>
      <charset val="238"/>
    </font>
    <font>
      <i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name val="Calibri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8"/>
      <name val="Arial"/>
      <family val="2"/>
      <charset val="238"/>
    </font>
    <font>
      <b/>
      <sz val="11"/>
      <color rgb="FF3F3F3F"/>
      <name val="Calibri"/>
      <family val="2"/>
      <charset val="238"/>
      <scheme val="minor"/>
    </font>
    <font>
      <b/>
      <i/>
      <sz val="10"/>
      <name val="Calibri"/>
      <family val="2"/>
      <charset val="238"/>
    </font>
    <font>
      <sz val="11"/>
      <color indexed="22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2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 CE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4"/>
      <name val="Calibri"/>
      <family val="2"/>
      <charset val="238"/>
    </font>
    <font>
      <i/>
      <sz val="10"/>
      <name val="Arial"/>
      <family val="2"/>
      <charset val="238"/>
    </font>
    <font>
      <b/>
      <sz val="10"/>
      <color rgb="FF006100"/>
      <name val="Calibri"/>
      <family val="2"/>
      <charset val="238"/>
      <scheme val="minor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6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color indexed="12"/>
      <name val="Times New Roman"/>
      <family val="1"/>
      <charset val="238"/>
    </font>
    <font>
      <b/>
      <sz val="11"/>
      <color indexed="20"/>
      <name val="Times New Roman"/>
      <family val="1"/>
      <charset val="238"/>
    </font>
    <font>
      <b/>
      <sz val="11"/>
      <color indexed="16"/>
      <name val="Times New Roman"/>
      <family val="1"/>
      <charset val="238"/>
    </font>
    <font>
      <b/>
      <sz val="11.5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sz val="13"/>
      <color indexed="8"/>
      <name val="Times New Roman"/>
      <family val="1"/>
      <charset val="238"/>
    </font>
    <font>
      <sz val="13"/>
      <name val="Times New Roman"/>
      <family val="1"/>
      <charset val="238"/>
    </font>
    <font>
      <b/>
      <sz val="14"/>
      <name val="Calibri"/>
      <family val="2"/>
      <charset val="238"/>
      <scheme val="minor"/>
    </font>
    <font>
      <sz val="14"/>
      <color indexed="8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2"/>
      <color indexed="8"/>
      <name val="Times New Roman"/>
      <family val="1"/>
      <charset val="238"/>
    </font>
    <font>
      <b/>
      <sz val="13"/>
      <name val="Times New Roman"/>
      <family val="1"/>
      <charset val="238"/>
    </font>
    <font>
      <b/>
      <sz val="13"/>
      <color indexed="8"/>
      <name val="Times New Roman"/>
      <family val="1"/>
      <charset val="238"/>
    </font>
    <font>
      <i/>
      <sz val="13"/>
      <color indexed="8"/>
      <name val="Times New Roman"/>
      <family val="1"/>
      <charset val="238"/>
    </font>
    <font>
      <i/>
      <sz val="13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i/>
      <sz val="13"/>
      <color indexed="8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b/>
      <sz val="13"/>
      <color rgb="FF006100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b/>
      <i/>
      <sz val="12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3"/>
      <name val="Calibri"/>
      <family val="2"/>
      <charset val="238"/>
    </font>
    <font>
      <sz val="13"/>
      <color theme="1"/>
      <name val="Times New Roman"/>
      <family val="1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i/>
      <sz val="13"/>
      <color indexed="8"/>
      <name val="Calibri"/>
      <family val="2"/>
      <charset val="238"/>
    </font>
    <font>
      <b/>
      <sz val="15"/>
      <name val="Times New Roman"/>
      <family val="1"/>
      <charset val="238"/>
    </font>
    <font>
      <sz val="15"/>
      <name val="Times New Roman"/>
      <family val="1"/>
      <charset val="238"/>
    </font>
    <font>
      <b/>
      <sz val="15"/>
      <color indexed="8"/>
      <name val="Times New Roman"/>
      <family val="1"/>
      <charset val="238"/>
    </font>
    <font>
      <b/>
      <sz val="15"/>
      <color rgb="FFFF0000"/>
      <name val="Times New Roman"/>
      <family val="1"/>
      <charset val="238"/>
    </font>
    <font>
      <sz val="15"/>
      <color indexed="8"/>
      <name val="Times New Roman"/>
      <family val="1"/>
      <charset val="238"/>
    </font>
    <font>
      <sz val="15"/>
      <color rgb="FFFF0000"/>
      <name val="Times New Roman"/>
      <family val="1"/>
      <charset val="238"/>
    </font>
    <font>
      <sz val="15"/>
      <color theme="1"/>
      <name val="Times New Roman"/>
      <family val="1"/>
      <charset val="238"/>
    </font>
    <font>
      <b/>
      <sz val="15"/>
      <color theme="1"/>
      <name val="Times New Roman"/>
      <family val="1"/>
      <charset val="238"/>
    </font>
    <font>
      <i/>
      <sz val="15"/>
      <color theme="1"/>
      <name val="Times New Roman"/>
      <family val="1"/>
      <charset val="238"/>
    </font>
    <font>
      <i/>
      <sz val="15"/>
      <color indexed="8"/>
      <name val="Times New Roman"/>
      <family val="1"/>
      <charset val="238"/>
    </font>
    <font>
      <i/>
      <sz val="15"/>
      <color rgb="FFFF0000"/>
      <name val="Times New Roman"/>
      <family val="1"/>
      <charset val="238"/>
    </font>
    <font>
      <b/>
      <i/>
      <sz val="15"/>
      <color indexed="8"/>
      <name val="Times New Roman"/>
      <family val="1"/>
      <charset val="238"/>
    </font>
    <font>
      <sz val="15"/>
      <name val="Arial"/>
      <family val="2"/>
      <charset val="238"/>
    </font>
    <font>
      <sz val="13"/>
      <color rgb="FF006100"/>
      <name val="Times New Roman"/>
      <family val="1"/>
      <charset val="238"/>
    </font>
    <font>
      <b/>
      <i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3"/>
      <color rgb="FFFF0000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3"/>
      <color theme="1"/>
      <name val="Times New Roman"/>
      <family val="1"/>
      <charset val="238"/>
    </font>
    <font>
      <b/>
      <i/>
      <sz val="13"/>
      <color theme="1"/>
      <name val="Times New Roman"/>
      <family val="1"/>
      <charset val="238"/>
    </font>
    <font>
      <b/>
      <i/>
      <sz val="13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3"/>
      <color rgb="FFFF0000"/>
      <name val="Times New Roman"/>
      <family val="1"/>
      <charset val="238"/>
    </font>
    <font>
      <i/>
      <sz val="13"/>
      <color rgb="FFFF0000"/>
      <name val="Times New Roman"/>
      <family val="1"/>
      <charset val="238"/>
    </font>
    <font>
      <sz val="13"/>
      <color rgb="FFFF0000"/>
      <name val="Calibri"/>
      <family val="2"/>
      <charset val="238"/>
    </font>
    <font>
      <b/>
      <sz val="13"/>
      <color rgb="FFFF0000"/>
      <name val="Calibri"/>
      <family val="2"/>
      <charset val="238"/>
    </font>
    <font>
      <i/>
      <sz val="13"/>
      <color rgb="FFFF0000"/>
      <name val="Calibri"/>
      <family val="2"/>
      <charset val="238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6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3">
    <xf numFmtId="0" fontId="0" fillId="0" borderId="0"/>
    <xf numFmtId="43" fontId="1" fillId="0" borderId="0" applyFont="0" applyFill="0" applyBorder="0" applyAlignment="0" applyProtection="0"/>
    <xf numFmtId="0" fontId="31" fillId="2" borderId="55" applyNumberFormat="0" applyAlignment="0" applyProtection="0"/>
    <xf numFmtId="0" fontId="2" fillId="0" borderId="0"/>
    <xf numFmtId="0" fontId="4" fillId="0" borderId="0"/>
    <xf numFmtId="0" fontId="1" fillId="0" borderId="0"/>
    <xf numFmtId="0" fontId="8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2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2" borderId="0" applyNumberFormat="0" applyBorder="0" applyAlignment="0" applyProtection="0"/>
    <xf numFmtId="0" fontId="25" fillId="12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3" borderId="0" applyNumberFormat="0" applyBorder="0" applyAlignment="0" applyProtection="0"/>
    <xf numFmtId="0" fontId="25" fillId="16" borderId="0" applyNumberFormat="0" applyBorder="0" applyAlignment="0" applyProtection="0"/>
    <xf numFmtId="0" fontId="25" fillId="10" borderId="0" applyNumberFormat="0" applyBorder="0" applyAlignment="0" applyProtection="0"/>
    <xf numFmtId="0" fontId="33" fillId="17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3" borderId="0" applyNumberFormat="0" applyBorder="0" applyAlignment="0" applyProtection="0"/>
    <xf numFmtId="0" fontId="33" fillId="17" borderId="0" applyNumberFormat="0" applyBorder="0" applyAlignment="0" applyProtection="0"/>
    <xf numFmtId="0" fontId="33" fillId="10" borderId="0" applyNumberFormat="0" applyBorder="0" applyAlignment="0" applyProtection="0"/>
    <xf numFmtId="0" fontId="34" fillId="10" borderId="60" applyNumberFormat="0" applyAlignment="0" applyProtection="0"/>
    <xf numFmtId="0" fontId="35" fillId="0" borderId="0" applyNumberFormat="0" applyFill="0" applyBorder="0" applyAlignment="0" applyProtection="0"/>
    <xf numFmtId="0" fontId="36" fillId="0" borderId="61" applyNumberFormat="0" applyFill="0" applyAlignment="0" applyProtection="0"/>
    <xf numFmtId="0" fontId="37" fillId="0" borderId="62" applyNumberFormat="0" applyFill="0" applyAlignment="0" applyProtection="0"/>
    <xf numFmtId="0" fontId="38" fillId="0" borderId="63" applyNumberFormat="0" applyFill="0" applyAlignment="0" applyProtection="0"/>
    <xf numFmtId="0" fontId="38" fillId="0" borderId="0" applyNumberFormat="0" applyFill="0" applyBorder="0" applyAlignment="0" applyProtection="0"/>
    <xf numFmtId="0" fontId="39" fillId="18" borderId="64" applyNumberFormat="0" applyAlignment="0" applyProtection="0"/>
    <xf numFmtId="0" fontId="40" fillId="0" borderId="0" applyNumberFormat="0" applyFill="0" applyBorder="0" applyAlignment="0" applyProtection="0"/>
    <xf numFmtId="0" fontId="41" fillId="0" borderId="65" applyNumberFormat="0" applyFill="0" applyAlignment="0" applyProtection="0"/>
    <xf numFmtId="0" fontId="1" fillId="11" borderId="66" applyNumberFormat="0" applyFont="0" applyAlignment="0" applyProtection="0"/>
    <xf numFmtId="0" fontId="33" fillId="17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17" borderId="0" applyNumberFormat="0" applyBorder="0" applyAlignment="0" applyProtection="0"/>
    <xf numFmtId="0" fontId="33" fillId="22" borderId="0" applyNumberFormat="0" applyBorder="0" applyAlignment="0" applyProtection="0"/>
    <xf numFmtId="0" fontId="42" fillId="23" borderId="0" applyNumberFormat="0" applyBorder="0" applyAlignment="0" applyProtection="0"/>
    <xf numFmtId="0" fontId="43" fillId="2" borderId="67" applyNumberFormat="0" applyAlignment="0" applyProtection="0"/>
    <xf numFmtId="0" fontId="44" fillId="0" borderId="0" applyNumberFormat="0" applyFill="0" applyBorder="0" applyAlignment="0" applyProtection="0"/>
    <xf numFmtId="0" fontId="26" fillId="0" borderId="68" applyNumberFormat="0" applyFill="0" applyAlignment="0" applyProtection="0"/>
    <xf numFmtId="0" fontId="45" fillId="24" borderId="0" applyNumberFormat="0" applyBorder="0" applyAlignment="0" applyProtection="0"/>
    <xf numFmtId="0" fontId="46" fillId="15" borderId="0" applyNumberFormat="0" applyBorder="0" applyAlignment="0" applyProtection="0"/>
    <xf numFmtId="0" fontId="47" fillId="2" borderId="60" applyNumberFormat="0" applyAlignment="0" applyProtection="0"/>
    <xf numFmtId="0" fontId="48" fillId="26" borderId="0" applyNumberFormat="0" applyBorder="0" applyAlignment="0" applyProtection="0"/>
    <xf numFmtId="0" fontId="57" fillId="0" borderId="0"/>
    <xf numFmtId="0" fontId="139" fillId="28" borderId="0" applyNumberFormat="0" applyBorder="0" applyAlignment="0" applyProtection="0"/>
  </cellStyleXfs>
  <cellXfs count="18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/>
    <xf numFmtId="49" fontId="14" fillId="0" borderId="0" xfId="0" applyNumberFormat="1" applyFont="1"/>
    <xf numFmtId="0" fontId="14" fillId="0" borderId="0" xfId="0" applyFont="1"/>
    <xf numFmtId="0" fontId="14" fillId="0" borderId="9" xfId="0" applyFont="1" applyBorder="1" applyAlignment="1">
      <alignment horizontal="center" vertical="center" wrapText="1"/>
    </xf>
    <xf numFmtId="49" fontId="14" fillId="0" borderId="9" xfId="0" applyNumberFormat="1" applyFont="1" applyBorder="1" applyAlignment="1">
      <alignment horizontal="center" vertical="center"/>
    </xf>
    <xf numFmtId="0" fontId="19" fillId="0" borderId="0" xfId="0" applyFont="1"/>
    <xf numFmtId="0" fontId="16" fillId="0" borderId="0" xfId="0" applyFont="1"/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9" fillId="6" borderId="9" xfId="0" applyFont="1" applyFill="1" applyBorder="1"/>
    <xf numFmtId="3" fontId="10" fillId="6" borderId="3" xfId="0" applyNumberFormat="1" applyFont="1" applyFill="1" applyBorder="1" applyAlignment="1">
      <alignment vertical="center"/>
    </xf>
    <xf numFmtId="0" fontId="7" fillId="6" borderId="9" xfId="0" applyFont="1" applyFill="1" applyBorder="1" applyAlignment="1">
      <alignment horizontal="left" vertical="center" wrapText="1"/>
    </xf>
    <xf numFmtId="2" fontId="7" fillId="6" borderId="3" xfId="0" applyNumberFormat="1" applyFont="1" applyFill="1" applyBorder="1" applyAlignment="1" applyProtection="1">
      <alignment horizontal="center" vertical="center"/>
    </xf>
    <xf numFmtId="2" fontId="7" fillId="6" borderId="21" xfId="0" applyNumberFormat="1" applyFont="1" applyFill="1" applyBorder="1" applyAlignment="1" applyProtection="1">
      <alignment horizontal="center" vertical="center"/>
    </xf>
    <xf numFmtId="2" fontId="9" fillId="6" borderId="3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11" fillId="0" borderId="9" xfId="0" applyFont="1" applyBorder="1" applyAlignment="1">
      <alignment vertical="center"/>
    </xf>
    <xf numFmtId="3" fontId="49" fillId="0" borderId="7" xfId="0" applyNumberFormat="1" applyFont="1" applyBorder="1" applyAlignment="1">
      <alignment horizontal="center"/>
    </xf>
    <xf numFmtId="0" fontId="49" fillId="0" borderId="9" xfId="0" applyFont="1" applyBorder="1" applyAlignment="1">
      <alignment horizontal="center"/>
    </xf>
    <xf numFmtId="3" fontId="49" fillId="0" borderId="9" xfId="0" applyNumberFormat="1" applyFont="1" applyBorder="1" applyAlignment="1">
      <alignment horizontal="center"/>
    </xf>
    <xf numFmtId="0" fontId="49" fillId="0" borderId="34" xfId="0" applyFont="1" applyBorder="1" applyAlignment="1">
      <alignment horizontal="left" wrapText="1"/>
    </xf>
    <xf numFmtId="3" fontId="49" fillId="0" borderId="9" xfId="0" applyNumberFormat="1" applyFont="1" applyBorder="1" applyAlignment="1">
      <alignment horizontal="center" wrapText="1"/>
    </xf>
    <xf numFmtId="3" fontId="49" fillId="0" borderId="19" xfId="0" applyNumberFormat="1" applyFont="1" applyBorder="1" applyAlignment="1">
      <alignment horizontal="center"/>
    </xf>
    <xf numFmtId="49" fontId="24" fillId="0" borderId="34" xfId="0" applyNumberFormat="1" applyFont="1" applyBorder="1" applyAlignment="1">
      <alignment horizontal="center" vertical="center"/>
    </xf>
    <xf numFmtId="3" fontId="9" fillId="0" borderId="0" xfId="0" applyNumberFormat="1" applyFont="1" applyAlignment="1">
      <alignment vertical="center"/>
    </xf>
    <xf numFmtId="3" fontId="51" fillId="0" borderId="0" xfId="4" applyNumberFormat="1" applyFont="1" applyBorder="1" applyAlignment="1">
      <alignment horizontal="center" vertical="center"/>
    </xf>
    <xf numFmtId="0" fontId="52" fillId="0" borderId="0" xfId="4" applyFont="1" applyBorder="1"/>
    <xf numFmtId="0" fontId="52" fillId="0" borderId="0" xfId="4" applyFont="1"/>
    <xf numFmtId="0" fontId="52" fillId="0" borderId="0" xfId="4" applyFont="1" applyAlignment="1">
      <alignment vertical="center"/>
    </xf>
    <xf numFmtId="0" fontId="53" fillId="0" borderId="0" xfId="4" applyFont="1" applyAlignment="1">
      <alignment vertical="center"/>
    </xf>
    <xf numFmtId="0" fontId="52" fillId="0" borderId="0" xfId="4" applyFont="1" applyFill="1" applyAlignment="1">
      <alignment vertical="center"/>
    </xf>
    <xf numFmtId="0" fontId="52" fillId="0" borderId="0" xfId="4" applyFont="1" applyFill="1" applyAlignment="1">
      <alignment vertical="center" wrapText="1"/>
    </xf>
    <xf numFmtId="0" fontId="51" fillId="3" borderId="0" xfId="4" applyFont="1" applyFill="1" applyAlignment="1">
      <alignment vertical="center"/>
    </xf>
    <xf numFmtId="0" fontId="52" fillId="0" borderId="0" xfId="4" applyNumberFormat="1" applyFont="1" applyFill="1" applyAlignment="1">
      <alignment vertical="center" wrapText="1"/>
    </xf>
    <xf numFmtId="41" fontId="52" fillId="0" borderId="0" xfId="4" applyNumberFormat="1" applyFont="1" applyFill="1" applyAlignment="1">
      <alignment horizontal="right" indent="1"/>
    </xf>
    <xf numFmtId="0" fontId="52" fillId="3" borderId="0" xfId="4" applyFont="1" applyFill="1"/>
    <xf numFmtId="0" fontId="51" fillId="0" borderId="0" xfId="4" applyFont="1" applyAlignment="1">
      <alignment horizontal="left" indent="1"/>
    </xf>
    <xf numFmtId="3" fontId="51" fillId="0" borderId="0" xfId="4" applyNumberFormat="1" applyFont="1"/>
    <xf numFmtId="0" fontId="52" fillId="0" borderId="0" xfId="4" applyFont="1" applyAlignment="1">
      <alignment horizontal="left" indent="1"/>
    </xf>
    <xf numFmtId="3" fontId="52" fillId="0" borderId="0" xfId="4" applyNumberFormat="1" applyFont="1"/>
    <xf numFmtId="0" fontId="51" fillId="0" borderId="0" xfId="4" applyFont="1"/>
    <xf numFmtId="3" fontId="49" fillId="0" borderId="16" xfId="0" applyNumberFormat="1" applyFont="1" applyBorder="1" applyAlignment="1">
      <alignment horizontal="center"/>
    </xf>
    <xf numFmtId="3" fontId="27" fillId="0" borderId="16" xfId="0" applyNumberFormat="1" applyFont="1" applyBorder="1" applyAlignment="1">
      <alignment horizontal="center"/>
    </xf>
    <xf numFmtId="3" fontId="51" fillId="0" borderId="0" xfId="4" applyNumberFormat="1" applyFont="1" applyBorder="1" applyAlignment="1">
      <alignment horizontal="center" vertical="center"/>
    </xf>
    <xf numFmtId="0" fontId="20" fillId="0" borderId="0" xfId="0" applyFont="1" applyBorder="1" applyAlignment="1">
      <alignment vertical="center" wrapText="1"/>
    </xf>
    <xf numFmtId="0" fontId="21" fillId="0" borderId="0" xfId="0" applyFont="1" applyBorder="1"/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Alignment="1">
      <alignment vertical="justify"/>
    </xf>
    <xf numFmtId="49" fontId="22" fillId="0" borderId="34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left" vertical="center" wrapText="1"/>
    </xf>
    <xf numFmtId="0" fontId="24" fillId="0" borderId="0" xfId="0" applyFont="1"/>
    <xf numFmtId="0" fontId="22" fillId="0" borderId="0" xfId="0" applyFont="1"/>
    <xf numFmtId="0" fontId="23" fillId="0" borderId="0" xfId="0" applyFont="1"/>
    <xf numFmtId="0" fontId="19" fillId="6" borderId="0" xfId="0" applyFont="1" applyFill="1" applyAlignment="1">
      <alignment horizontal="right"/>
    </xf>
    <xf numFmtId="0" fontId="19" fillId="0" borderId="0" xfId="0" applyFont="1" applyFill="1"/>
    <xf numFmtId="0" fontId="21" fillId="0" borderId="0" xfId="0" applyFont="1" applyFill="1"/>
    <xf numFmtId="0" fontId="22" fillId="0" borderId="0" xfId="0" applyFont="1" applyFill="1"/>
    <xf numFmtId="0" fontId="24" fillId="0" borderId="0" xfId="0" applyFont="1" applyFill="1"/>
    <xf numFmtId="0" fontId="54" fillId="0" borderId="9" xfId="0" applyFont="1" applyBorder="1" applyAlignment="1">
      <alignment vertical="center"/>
    </xf>
    <xf numFmtId="0" fontId="54" fillId="0" borderId="0" xfId="0" applyFont="1"/>
    <xf numFmtId="41" fontId="52" fillId="0" borderId="0" xfId="4" applyNumberFormat="1" applyFont="1"/>
    <xf numFmtId="0" fontId="49" fillId="0" borderId="5" xfId="0" applyFont="1" applyBorder="1" applyAlignment="1">
      <alignment horizontal="left" wrapText="1"/>
    </xf>
    <xf numFmtId="0" fontId="49" fillId="0" borderId="25" xfId="0" applyFont="1" applyBorder="1" applyAlignment="1">
      <alignment horizontal="left" wrapText="1"/>
    </xf>
    <xf numFmtId="0" fontId="49" fillId="0" borderId="1" xfId="0" applyFont="1" applyBorder="1" applyAlignment="1">
      <alignment horizontal="left" wrapText="1"/>
    </xf>
    <xf numFmtId="0" fontId="27" fillId="0" borderId="25" xfId="0" applyFont="1" applyBorder="1" applyAlignment="1">
      <alignment horizontal="left" wrapText="1"/>
    </xf>
    <xf numFmtId="0" fontId="49" fillId="0" borderId="32" xfId="0" applyFont="1" applyBorder="1" applyAlignment="1">
      <alignment horizontal="left" wrapText="1"/>
    </xf>
    <xf numFmtId="0" fontId="49" fillId="0" borderId="9" xfId="0" applyFont="1" applyBorder="1" applyAlignment="1">
      <alignment horizontal="left" wrapText="1"/>
    </xf>
    <xf numFmtId="49" fontId="14" fillId="0" borderId="9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7" fillId="0" borderId="9" xfId="0" applyFont="1" applyFill="1" applyBorder="1" applyAlignment="1">
      <alignment vertical="center" wrapText="1"/>
    </xf>
    <xf numFmtId="49" fontId="14" fillId="0" borderId="19" xfId="0" applyNumberFormat="1" applyFont="1" applyBorder="1" applyAlignment="1">
      <alignment horizontal="center" vertical="center" wrapText="1"/>
    </xf>
    <xf numFmtId="0" fontId="53" fillId="0" borderId="0" xfId="4" applyFont="1" applyFill="1" applyAlignment="1">
      <alignment vertical="center"/>
    </xf>
    <xf numFmtId="49" fontId="22" fillId="0" borderId="1" xfId="0" applyNumberFormat="1" applyFont="1" applyFill="1" applyBorder="1" applyAlignment="1">
      <alignment horizontal="left" vertical="center" wrapText="1"/>
    </xf>
    <xf numFmtId="0" fontId="19" fillId="6" borderId="0" xfId="0" applyFont="1" applyFill="1" applyAlignment="1">
      <alignment horizontal="right" vertical="center"/>
    </xf>
    <xf numFmtId="49" fontId="19" fillId="0" borderId="0" xfId="0" applyNumberFormat="1" applyFont="1" applyAlignment="1">
      <alignment horizontal="center" vertical="center"/>
    </xf>
    <xf numFmtId="0" fontId="23" fillId="0" borderId="0" xfId="0" applyFont="1" applyFill="1"/>
    <xf numFmtId="0" fontId="24" fillId="0" borderId="9" xfId="0" applyFont="1" applyBorder="1" applyAlignment="1">
      <alignment horizontal="left" vertical="center" wrapText="1"/>
    </xf>
    <xf numFmtId="0" fontId="20" fillId="0" borderId="0" xfId="0" applyFont="1"/>
    <xf numFmtId="49" fontId="22" fillId="0" borderId="5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0" fontId="21" fillId="0" borderId="7" xfId="0" applyFont="1" applyBorder="1" applyAlignment="1">
      <alignment horizontal="left" vertical="center" wrapText="1"/>
    </xf>
    <xf numFmtId="49" fontId="24" fillId="0" borderId="5" xfId="0" applyNumberFormat="1" applyFont="1" applyBorder="1" applyAlignment="1">
      <alignment horizontal="center" vertical="center"/>
    </xf>
    <xf numFmtId="0" fontId="11" fillId="0" borderId="48" xfId="0" applyFont="1" applyBorder="1" applyAlignment="1">
      <alignment vertical="center"/>
    </xf>
    <xf numFmtId="49" fontId="22" fillId="0" borderId="25" xfId="0" applyNumberFormat="1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left" vertical="center" wrapText="1"/>
    </xf>
    <xf numFmtId="49" fontId="20" fillId="0" borderId="70" xfId="0" applyNumberFormat="1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54" fillId="0" borderId="9" xfId="0" applyFont="1" applyFill="1" applyBorder="1" applyAlignment="1">
      <alignment horizontal="left" vertical="center" wrapText="1"/>
    </xf>
    <xf numFmtId="0" fontId="54" fillId="0" borderId="0" xfId="0" applyFont="1" applyAlignment="1">
      <alignment vertical="center"/>
    </xf>
    <xf numFmtId="49" fontId="20" fillId="9" borderId="25" xfId="0" applyNumberFormat="1" applyFont="1" applyFill="1" applyBorder="1" applyAlignment="1">
      <alignment horizontal="center" vertical="center" wrapText="1"/>
    </xf>
    <xf numFmtId="49" fontId="20" fillId="9" borderId="25" xfId="0" applyNumberFormat="1" applyFont="1" applyFill="1" applyBorder="1" applyAlignment="1">
      <alignment horizontal="center" vertical="center"/>
    </xf>
    <xf numFmtId="49" fontId="22" fillId="9" borderId="25" xfId="0" applyNumberFormat="1" applyFont="1" applyFill="1" applyBorder="1" applyAlignment="1">
      <alignment horizontal="center" vertical="center" wrapText="1"/>
    </xf>
    <xf numFmtId="49" fontId="22" fillId="9" borderId="52" xfId="0" applyNumberFormat="1" applyFont="1" applyFill="1" applyBorder="1" applyAlignment="1">
      <alignment horizontal="center" vertical="center" wrapText="1"/>
    </xf>
    <xf numFmtId="0" fontId="29" fillId="9" borderId="16" xfId="0" applyFont="1" applyFill="1" applyBorder="1" applyAlignment="1">
      <alignment vertical="center"/>
    </xf>
    <xf numFmtId="0" fontId="54" fillId="0" borderId="7" xfId="0" applyFont="1" applyBorder="1" applyAlignment="1">
      <alignment vertical="center"/>
    </xf>
    <xf numFmtId="0" fontId="54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64" fillId="0" borderId="0" xfId="0" applyFont="1" applyAlignment="1">
      <alignment vertical="center"/>
    </xf>
    <xf numFmtId="0" fontId="67" fillId="0" borderId="0" xfId="0" applyFont="1" applyAlignment="1">
      <alignment horizontal="center" vertical="center"/>
    </xf>
    <xf numFmtId="3" fontId="65" fillId="0" borderId="0" xfId="0" applyNumberFormat="1" applyFont="1" applyBorder="1" applyAlignment="1">
      <alignment horizontal="right" vertical="center" indent="1"/>
    </xf>
    <xf numFmtId="0" fontId="66" fillId="0" borderId="0" xfId="0" applyFont="1"/>
    <xf numFmtId="0" fontId="65" fillId="0" borderId="0" xfId="0" applyFont="1" applyAlignment="1">
      <alignment vertical="center"/>
    </xf>
    <xf numFmtId="0" fontId="68" fillId="0" borderId="0" xfId="0" applyFont="1" applyAlignment="1">
      <alignment vertical="center"/>
    </xf>
    <xf numFmtId="0" fontId="67" fillId="0" borderId="0" xfId="0" applyFont="1" applyFill="1"/>
    <xf numFmtId="3" fontId="6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29" fillId="0" borderId="1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64" fillId="0" borderId="9" xfId="6" applyFont="1" applyBorder="1" applyAlignment="1">
      <alignment vertical="center" wrapText="1"/>
    </xf>
    <xf numFmtId="0" fontId="29" fillId="0" borderId="25" xfId="6" applyFont="1" applyBorder="1" applyAlignment="1">
      <alignment horizontal="center" vertical="center"/>
    </xf>
    <xf numFmtId="0" fontId="29" fillId="0" borderId="16" xfId="6" applyFont="1" applyBorder="1" applyAlignment="1">
      <alignment horizontal="center" vertical="center" wrapText="1"/>
    </xf>
    <xf numFmtId="0" fontId="54" fillId="0" borderId="0" xfId="6" applyFont="1" applyBorder="1" applyAlignment="1">
      <alignment vertical="center"/>
    </xf>
    <xf numFmtId="3" fontId="29" fillId="0" borderId="16" xfId="1" applyNumberFormat="1" applyFont="1" applyBorder="1" applyAlignment="1">
      <alignment horizontal="center" vertical="center" wrapText="1"/>
    </xf>
    <xf numFmtId="3" fontId="63" fillId="0" borderId="16" xfId="0" applyNumberFormat="1" applyFont="1" applyBorder="1" applyAlignment="1">
      <alignment horizontal="center" vertical="center" wrapText="1"/>
    </xf>
    <xf numFmtId="3" fontId="63" fillId="0" borderId="23" xfId="0" applyNumberFormat="1" applyFont="1" applyBorder="1" applyAlignment="1">
      <alignment horizontal="center" vertical="center" wrapText="1"/>
    </xf>
    <xf numFmtId="0" fontId="29" fillId="0" borderId="0" xfId="6" applyFont="1" applyBorder="1" applyAlignment="1">
      <alignment horizontal="center" vertical="center"/>
    </xf>
    <xf numFmtId="0" fontId="54" fillId="0" borderId="0" xfId="6" applyFont="1" applyFill="1" applyBorder="1" applyAlignment="1">
      <alignment vertical="center"/>
    </xf>
    <xf numFmtId="0" fontId="29" fillId="0" borderId="0" xfId="0" applyFont="1" applyAlignment="1">
      <alignment vertical="center" wrapText="1"/>
    </xf>
    <xf numFmtId="3" fontId="29" fillId="0" borderId="0" xfId="1" applyNumberFormat="1" applyFont="1" applyAlignment="1">
      <alignment horizontal="center" vertical="center"/>
    </xf>
    <xf numFmtId="3" fontId="29" fillId="0" borderId="0" xfId="0" applyNumberFormat="1" applyFont="1" applyAlignment="1">
      <alignment vertical="center"/>
    </xf>
    <xf numFmtId="164" fontId="29" fillId="0" borderId="0" xfId="1" applyNumberFormat="1" applyFont="1" applyAlignment="1">
      <alignment horizontal="center" vertical="center"/>
    </xf>
    <xf numFmtId="3" fontId="54" fillId="0" borderId="0" xfId="1" applyNumberFormat="1" applyFont="1" applyAlignment="1">
      <alignment horizontal="center" vertical="center"/>
    </xf>
    <xf numFmtId="3" fontId="54" fillId="0" borderId="0" xfId="0" applyNumberFormat="1" applyFont="1" applyAlignment="1">
      <alignment vertical="center"/>
    </xf>
    <xf numFmtId="0" fontId="54" fillId="0" borderId="0" xfId="0" applyFont="1" applyAlignment="1">
      <alignment vertical="center" wrapText="1"/>
    </xf>
    <xf numFmtId="0" fontId="29" fillId="0" borderId="0" xfId="0" applyNumberFormat="1" applyFont="1" applyAlignment="1">
      <alignment vertical="center" wrapText="1"/>
    </xf>
    <xf numFmtId="0" fontId="54" fillId="0" borderId="34" xfId="0" applyFont="1" applyBorder="1" applyAlignment="1">
      <alignment horizontal="center" vertical="center"/>
    </xf>
    <xf numFmtId="0" fontId="69" fillId="0" borderId="0" xfId="0" applyFont="1" applyAlignment="1">
      <alignment vertical="center"/>
    </xf>
    <xf numFmtId="0" fontId="29" fillId="0" borderId="16" xfId="0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/>
    </xf>
    <xf numFmtId="0" fontId="54" fillId="0" borderId="34" xfId="0" applyFont="1" applyFill="1" applyBorder="1" applyAlignment="1">
      <alignment horizontal="center" vertical="center"/>
    </xf>
    <xf numFmtId="164" fontId="54" fillId="0" borderId="9" xfId="1" applyNumberFormat="1" applyFont="1" applyBorder="1" applyAlignment="1">
      <alignment vertical="center"/>
    </xf>
    <xf numFmtId="3" fontId="54" fillId="0" borderId="19" xfId="0" applyNumberFormat="1" applyFont="1" applyBorder="1" applyAlignment="1">
      <alignment vertical="center"/>
    </xf>
    <xf numFmtId="3" fontId="54" fillId="0" borderId="7" xfId="0" applyNumberFormat="1" applyFont="1" applyBorder="1" applyAlignment="1">
      <alignment horizontal="right" vertical="center"/>
    </xf>
    <xf numFmtId="3" fontId="54" fillId="0" borderId="9" xfId="0" applyNumberFormat="1" applyFont="1" applyBorder="1" applyAlignment="1">
      <alignment horizontal="right" vertical="center" indent="1"/>
    </xf>
    <xf numFmtId="3" fontId="54" fillId="0" borderId="3" xfId="0" applyNumberFormat="1" applyFont="1" applyBorder="1" applyAlignment="1">
      <alignment horizontal="right" vertical="center" indent="1"/>
    </xf>
    <xf numFmtId="3" fontId="54" fillId="0" borderId="19" xfId="0" applyNumberFormat="1" applyFont="1" applyBorder="1" applyAlignment="1">
      <alignment horizontal="right" vertical="center" indent="1"/>
    </xf>
    <xf numFmtId="3" fontId="54" fillId="0" borderId="47" xfId="0" applyNumberFormat="1" applyFont="1" applyBorder="1" applyAlignment="1">
      <alignment horizontal="right" vertical="center" indent="1"/>
    </xf>
    <xf numFmtId="3" fontId="54" fillId="0" borderId="7" xfId="0" applyNumberFormat="1" applyFont="1" applyBorder="1" applyAlignment="1">
      <alignment horizontal="right" vertical="center" indent="1"/>
    </xf>
    <xf numFmtId="3" fontId="54" fillId="0" borderId="8" xfId="0" applyNumberFormat="1" applyFont="1" applyBorder="1" applyAlignment="1">
      <alignment horizontal="right" vertical="center" indent="1"/>
    </xf>
    <xf numFmtId="3" fontId="29" fillId="9" borderId="16" xfId="0" applyNumberFormat="1" applyFont="1" applyFill="1" applyBorder="1" applyAlignment="1">
      <alignment horizontal="right" vertical="center" indent="1"/>
    </xf>
    <xf numFmtId="0" fontId="54" fillId="0" borderId="0" xfId="0" applyFont="1" applyBorder="1" applyAlignment="1">
      <alignment vertical="center"/>
    </xf>
    <xf numFmtId="3" fontId="29" fillId="9" borderId="23" xfId="0" applyNumberFormat="1" applyFont="1" applyFill="1" applyBorder="1" applyAlignment="1">
      <alignment horizontal="right" vertical="center" indent="1"/>
    </xf>
    <xf numFmtId="0" fontId="54" fillId="0" borderId="7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54" fillId="0" borderId="0" xfId="0" applyFont="1" applyBorder="1" applyAlignment="1">
      <alignment vertical="center" wrapText="1"/>
    </xf>
    <xf numFmtId="0" fontId="54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3" fontId="29" fillId="0" borderId="0" xfId="0" applyNumberFormat="1" applyFont="1" applyBorder="1" applyAlignment="1">
      <alignment vertical="center"/>
    </xf>
    <xf numFmtId="3" fontId="54" fillId="0" borderId="9" xfId="0" applyNumberFormat="1" applyFont="1" applyBorder="1" applyAlignment="1">
      <alignment horizontal="right" vertical="center"/>
    </xf>
    <xf numFmtId="0" fontId="55" fillId="0" borderId="19" xfId="0" applyFont="1" applyBorder="1" applyAlignment="1">
      <alignment vertical="center"/>
    </xf>
    <xf numFmtId="3" fontId="54" fillId="0" borderId="19" xfId="0" applyNumberFormat="1" applyFont="1" applyBorder="1" applyAlignment="1">
      <alignment horizontal="right" vertical="center"/>
    </xf>
    <xf numFmtId="3" fontId="29" fillId="0" borderId="16" xfId="0" applyNumberFormat="1" applyFont="1" applyBorder="1" applyAlignment="1">
      <alignment horizontal="right" vertical="center"/>
    </xf>
    <xf numFmtId="0" fontId="54" fillId="0" borderId="48" xfId="0" applyFont="1" applyBorder="1" applyAlignment="1">
      <alignment vertical="center"/>
    </xf>
    <xf numFmtId="0" fontId="54" fillId="0" borderId="36" xfId="0" applyFont="1" applyBorder="1" applyAlignment="1">
      <alignment horizontal="center" vertical="center"/>
    </xf>
    <xf numFmtId="3" fontId="54" fillId="0" borderId="3" xfId="0" applyNumberFormat="1" applyFont="1" applyBorder="1" applyAlignment="1">
      <alignment horizontal="right" vertical="center"/>
    </xf>
    <xf numFmtId="0" fontId="54" fillId="0" borderId="5" xfId="0" applyFont="1" applyBorder="1" applyAlignment="1">
      <alignment horizontal="center" vertical="center"/>
    </xf>
    <xf numFmtId="3" fontId="29" fillId="0" borderId="23" xfId="0" applyNumberFormat="1" applyFont="1" applyBorder="1" applyAlignment="1">
      <alignment horizontal="right" vertical="center"/>
    </xf>
    <xf numFmtId="0" fontId="54" fillId="0" borderId="4" xfId="0" applyFont="1" applyBorder="1" applyAlignment="1">
      <alignment horizontal="center" vertical="center"/>
    </xf>
    <xf numFmtId="0" fontId="54" fillId="0" borderId="0" xfId="0" applyFont="1" applyBorder="1" applyAlignment="1">
      <alignment horizontal="left" vertical="center"/>
    </xf>
    <xf numFmtId="3" fontId="54" fillId="0" borderId="47" xfId="0" applyNumberFormat="1" applyFont="1" applyBorder="1" applyAlignment="1">
      <alignment horizontal="right" vertical="center"/>
    </xf>
    <xf numFmtId="3" fontId="54" fillId="0" borderId="8" xfId="0" applyNumberFormat="1" applyFont="1" applyBorder="1" applyAlignment="1">
      <alignment horizontal="right" vertical="center"/>
    </xf>
    <xf numFmtId="0" fontId="56" fillId="0" borderId="0" xfId="0" applyFont="1" applyAlignment="1">
      <alignment vertical="center"/>
    </xf>
    <xf numFmtId="0" fontId="56" fillId="0" borderId="0" xfId="0" applyFont="1" applyBorder="1" applyAlignment="1">
      <alignment vertical="center"/>
    </xf>
    <xf numFmtId="0" fontId="54" fillId="0" borderId="25" xfId="0" applyFont="1" applyBorder="1" applyAlignment="1">
      <alignment vertical="center" wrapText="1"/>
    </xf>
    <xf numFmtId="3" fontId="54" fillId="0" borderId="39" xfId="0" applyNumberFormat="1" applyFont="1" applyBorder="1" applyAlignment="1">
      <alignment horizontal="right" vertical="center" indent="1"/>
    </xf>
    <xf numFmtId="3" fontId="55" fillId="0" borderId="19" xfId="0" applyNumberFormat="1" applyFont="1" applyBorder="1" applyAlignment="1">
      <alignment horizontal="right" vertical="center" indent="1"/>
    </xf>
    <xf numFmtId="3" fontId="54" fillId="0" borderId="69" xfId="0" applyNumberFormat="1" applyFont="1" applyBorder="1" applyAlignment="1">
      <alignment horizontal="right" vertical="center" indent="1"/>
    </xf>
    <xf numFmtId="3" fontId="54" fillId="0" borderId="48" xfId="0" applyNumberFormat="1" applyFont="1" applyBorder="1" applyAlignment="1">
      <alignment horizontal="right" vertical="center" indent="1"/>
    </xf>
    <xf numFmtId="3" fontId="55" fillId="0" borderId="47" xfId="0" applyNumberFormat="1" applyFont="1" applyBorder="1" applyAlignment="1">
      <alignment horizontal="right" vertical="center" indent="1"/>
    </xf>
    <xf numFmtId="3" fontId="54" fillId="0" borderId="11" xfId="0" applyNumberFormat="1" applyFont="1" applyBorder="1" applyAlignment="1">
      <alignment horizontal="right" vertical="center" indent="1"/>
    </xf>
    <xf numFmtId="0" fontId="55" fillId="0" borderId="21" xfId="0" applyFont="1" applyBorder="1" applyAlignment="1">
      <alignment vertical="center"/>
    </xf>
    <xf numFmtId="3" fontId="55" fillId="0" borderId="21" xfId="0" applyNumberFormat="1" applyFont="1" applyBorder="1" applyAlignment="1">
      <alignment horizontal="right" vertical="center" indent="1"/>
    </xf>
    <xf numFmtId="3" fontId="70" fillId="0" borderId="21" xfId="0" applyNumberFormat="1" applyFont="1" applyBorder="1" applyAlignment="1">
      <alignment horizontal="right" vertical="center" indent="1"/>
    </xf>
    <xf numFmtId="3" fontId="54" fillId="0" borderId="21" xfId="0" applyNumberFormat="1" applyFont="1" applyBorder="1" applyAlignment="1">
      <alignment horizontal="right" vertical="center" indent="1"/>
    </xf>
    <xf numFmtId="3" fontId="54" fillId="0" borderId="84" xfId="0" applyNumberFormat="1" applyFont="1" applyBorder="1" applyAlignment="1">
      <alignment horizontal="right" vertical="center" indent="1"/>
    </xf>
    <xf numFmtId="0" fontId="54" fillId="0" borderId="46" xfId="0" applyFont="1" applyBorder="1" applyAlignment="1">
      <alignment horizontal="center" vertical="center"/>
    </xf>
    <xf numFmtId="0" fontId="54" fillId="0" borderId="17" xfId="0" applyFont="1" applyBorder="1" applyAlignment="1">
      <alignment vertical="center"/>
    </xf>
    <xf numFmtId="3" fontId="54" fillId="0" borderId="17" xfId="0" applyNumberFormat="1" applyFont="1" applyBorder="1" applyAlignment="1">
      <alignment horizontal="right" vertical="center" indent="1"/>
    </xf>
    <xf numFmtId="3" fontId="54" fillId="0" borderId="40" xfId="0" applyNumberFormat="1" applyFont="1" applyBorder="1" applyAlignment="1">
      <alignment horizontal="right" vertical="center" indent="1"/>
    </xf>
    <xf numFmtId="0" fontId="54" fillId="0" borderId="53" xfId="0" applyFont="1" applyBorder="1" applyAlignment="1">
      <alignment vertical="center"/>
    </xf>
    <xf numFmtId="3" fontId="54" fillId="0" borderId="53" xfId="0" applyNumberFormat="1" applyFont="1" applyBorder="1" applyAlignment="1">
      <alignment horizontal="right" vertical="center" indent="1"/>
    </xf>
    <xf numFmtId="0" fontId="29" fillId="0" borderId="35" xfId="0" applyFont="1" applyFill="1" applyBorder="1" applyAlignment="1">
      <alignment horizontal="center" vertical="center" wrapText="1"/>
    </xf>
    <xf numFmtId="0" fontId="54" fillId="9" borderId="25" xfId="0" applyFont="1" applyFill="1" applyBorder="1" applyAlignment="1">
      <alignment horizontal="center" vertical="center"/>
    </xf>
    <xf numFmtId="3" fontId="29" fillId="9" borderId="35" xfId="0" applyNumberFormat="1" applyFont="1" applyFill="1" applyBorder="1" applyAlignment="1">
      <alignment horizontal="right" vertical="center" indent="1"/>
    </xf>
    <xf numFmtId="0" fontId="29" fillId="9" borderId="25" xfId="0" applyFont="1" applyFill="1" applyBorder="1" applyAlignment="1">
      <alignment horizontal="center" vertical="center"/>
    </xf>
    <xf numFmtId="0" fontId="29" fillId="0" borderId="0" xfId="0" applyFont="1"/>
    <xf numFmtId="0" fontId="55" fillId="0" borderId="0" xfId="0" applyFont="1"/>
    <xf numFmtId="0" fontId="29" fillId="0" borderId="0" xfId="0" applyFont="1" applyBorder="1" applyAlignment="1">
      <alignment vertical="justify"/>
    </xf>
    <xf numFmtId="3" fontId="54" fillId="0" borderId="0" xfId="0" applyNumberFormat="1" applyFont="1" applyBorder="1" applyAlignment="1">
      <alignment horizontal="center" vertical="justify"/>
    </xf>
    <xf numFmtId="0" fontId="54" fillId="0" borderId="0" xfId="0" applyFont="1" applyBorder="1" applyAlignment="1">
      <alignment vertical="justify"/>
    </xf>
    <xf numFmtId="3" fontId="29" fillId="0" borderId="0" xfId="0" applyNumberFormat="1" applyFont="1" applyBorder="1" applyAlignment="1">
      <alignment horizontal="center" vertical="justify"/>
    </xf>
    <xf numFmtId="0" fontId="54" fillId="0" borderId="0" xfId="0" applyFont="1" applyAlignment="1">
      <alignment vertical="justify"/>
    </xf>
    <xf numFmtId="0" fontId="54" fillId="0" borderId="0" xfId="0" applyFont="1" applyFill="1" applyBorder="1" applyAlignment="1">
      <alignment vertical="justify"/>
    </xf>
    <xf numFmtId="3" fontId="54" fillId="0" borderId="0" xfId="0" applyNumberFormat="1" applyFont="1" applyAlignment="1">
      <alignment horizontal="center"/>
    </xf>
    <xf numFmtId="0" fontId="29" fillId="25" borderId="0" xfId="0" applyFont="1" applyFill="1"/>
    <xf numFmtId="41" fontId="54" fillId="0" borderId="0" xfId="0" applyNumberFormat="1" applyFont="1" applyAlignment="1">
      <alignment vertical="center"/>
    </xf>
    <xf numFmtId="41" fontId="29" fillId="25" borderId="0" xfId="0" applyNumberFormat="1" applyFont="1" applyFill="1"/>
    <xf numFmtId="164" fontId="29" fillId="25" borderId="0" xfId="1" applyNumberFormat="1" applyFont="1" applyFill="1"/>
    <xf numFmtId="3" fontId="64" fillId="6" borderId="0" xfId="0" applyNumberFormat="1" applyFont="1" applyFill="1"/>
    <xf numFmtId="3" fontId="7" fillId="6" borderId="0" xfId="0" applyNumberFormat="1" applyFont="1" applyFill="1" applyAlignment="1" applyProtection="1">
      <alignment vertical="center"/>
    </xf>
    <xf numFmtId="3" fontId="64" fillId="6" borderId="0" xfId="0" applyNumberFormat="1" applyFont="1" applyFill="1" applyAlignment="1">
      <alignment vertical="center"/>
    </xf>
    <xf numFmtId="3" fontId="64" fillId="6" borderId="0" xfId="0" applyNumberFormat="1" applyFont="1" applyFill="1" applyAlignment="1">
      <alignment horizontal="center"/>
    </xf>
    <xf numFmtId="3" fontId="64" fillId="6" borderId="0" xfId="0" applyNumberFormat="1" applyFont="1" applyFill="1" applyAlignment="1"/>
    <xf numFmtId="0" fontId="11" fillId="6" borderId="9" xfId="0" applyFont="1" applyFill="1" applyBorder="1" applyAlignment="1">
      <alignment horizontal="left" vertical="center" wrapText="1" indent="2"/>
    </xf>
    <xf numFmtId="170" fontId="11" fillId="0" borderId="3" xfId="0" applyNumberFormat="1" applyFont="1" applyBorder="1" applyAlignment="1">
      <alignment horizontal="center" vertical="center"/>
    </xf>
    <xf numFmtId="3" fontId="12" fillId="6" borderId="0" xfId="0" applyNumberFormat="1" applyFont="1" applyFill="1" applyAlignment="1">
      <alignment vertical="center"/>
    </xf>
    <xf numFmtId="2" fontId="11" fillId="6" borderId="3" xfId="0" applyNumberFormat="1" applyFont="1" applyFill="1" applyBorder="1" applyAlignment="1" applyProtection="1">
      <alignment horizontal="center" vertical="center"/>
    </xf>
    <xf numFmtId="3" fontId="70" fillId="6" borderId="0" xfId="0" applyNumberFormat="1" applyFont="1" applyFill="1" applyAlignment="1">
      <alignment vertical="center"/>
    </xf>
    <xf numFmtId="4" fontId="11" fillId="6" borderId="9" xfId="0" applyNumberFormat="1" applyFont="1" applyFill="1" applyBorder="1" applyAlignment="1" applyProtection="1">
      <alignment horizontal="right" vertical="center" indent="3"/>
    </xf>
    <xf numFmtId="4" fontId="7" fillId="6" borderId="9" xfId="0" applyNumberFormat="1" applyFont="1" applyFill="1" applyBorder="1" applyAlignment="1" applyProtection="1">
      <alignment horizontal="right" vertical="center" indent="3"/>
    </xf>
    <xf numFmtId="0" fontId="54" fillId="0" borderId="0" xfId="6" applyFont="1" applyBorder="1" applyAlignment="1">
      <alignment horizontal="center" vertical="center"/>
    </xf>
    <xf numFmtId="0" fontId="75" fillId="0" borderId="21" xfId="6" applyFont="1" applyBorder="1" applyAlignment="1">
      <alignment horizontal="center" vertical="center" wrapText="1"/>
    </xf>
    <xf numFmtId="0" fontId="63" fillId="0" borderId="37" xfId="6" applyFont="1" applyBorder="1" applyAlignment="1">
      <alignment horizontal="center" vertical="center"/>
    </xf>
    <xf numFmtId="0" fontId="63" fillId="0" borderId="38" xfId="6" applyFont="1" applyBorder="1" applyAlignment="1">
      <alignment vertical="center" wrapText="1"/>
    </xf>
    <xf numFmtId="0" fontId="29" fillId="0" borderId="0" xfId="6" applyFont="1" applyAlignment="1">
      <alignment vertical="center"/>
    </xf>
    <xf numFmtId="3" fontId="64" fillId="0" borderId="34" xfId="6" applyNumberFormat="1" applyFont="1" applyBorder="1" applyAlignment="1">
      <alignment horizontal="center" vertical="center"/>
    </xf>
    <xf numFmtId="41" fontId="64" fillId="25" borderId="9" xfId="6" applyNumberFormat="1" applyFont="1" applyFill="1" applyBorder="1" applyAlignment="1">
      <alignment horizontal="right" vertical="center" indent="1"/>
    </xf>
    <xf numFmtId="41" fontId="64" fillId="25" borderId="9" xfId="1" applyNumberFormat="1" applyFont="1" applyFill="1" applyBorder="1" applyAlignment="1">
      <alignment horizontal="right" vertical="center" indent="1"/>
    </xf>
    <xf numFmtId="0" fontId="54" fillId="0" borderId="3" xfId="6" applyFont="1" applyBorder="1" applyAlignment="1">
      <alignment vertical="center"/>
    </xf>
    <xf numFmtId="0" fontId="54" fillId="0" borderId="0" xfId="6" applyFont="1" applyAlignment="1">
      <alignment vertical="center"/>
    </xf>
    <xf numFmtId="0" fontId="54" fillId="0" borderId="0" xfId="6" applyFont="1" applyFill="1" applyAlignment="1">
      <alignment vertical="center"/>
    </xf>
    <xf numFmtId="164" fontId="54" fillId="0" borderId="0" xfId="0" applyNumberFormat="1" applyFont="1" applyAlignment="1">
      <alignment vertical="center"/>
    </xf>
    <xf numFmtId="3" fontId="54" fillId="0" borderId="0" xfId="0" applyNumberFormat="1" applyFont="1" applyAlignment="1">
      <alignment vertical="center" wrapText="1"/>
    </xf>
    <xf numFmtId="165" fontId="54" fillId="0" borderId="0" xfId="8" applyNumberFormat="1" applyFont="1" applyAlignment="1">
      <alignment vertical="center"/>
    </xf>
    <xf numFmtId="164" fontId="29" fillId="0" borderId="0" xfId="0" applyNumberFormat="1" applyFont="1" applyAlignment="1">
      <alignment vertical="center"/>
    </xf>
    <xf numFmtId="0" fontId="75" fillId="0" borderId="9" xfId="6" applyFont="1" applyBorder="1" applyAlignment="1">
      <alignment horizontal="center" vertical="center" wrapText="1"/>
    </xf>
    <xf numFmtId="41" fontId="64" fillId="0" borderId="9" xfId="6" applyNumberFormat="1" applyFont="1" applyBorder="1" applyAlignment="1">
      <alignment horizontal="right" vertical="center" indent="1"/>
    </xf>
    <xf numFmtId="41" fontId="70" fillId="0" borderId="9" xfId="6" applyNumberFormat="1" applyFont="1" applyBorder="1" applyAlignment="1">
      <alignment horizontal="right" vertical="center" indent="1"/>
    </xf>
    <xf numFmtId="41" fontId="64" fillId="0" borderId="9" xfId="1" applyNumberFormat="1" applyFont="1" applyBorder="1" applyAlignment="1">
      <alignment horizontal="right" vertical="center" indent="1"/>
    </xf>
    <xf numFmtId="164" fontId="54" fillId="0" borderId="2" xfId="1" applyNumberFormat="1" applyFont="1" applyBorder="1" applyAlignment="1">
      <alignment vertical="center"/>
    </xf>
    <xf numFmtId="0" fontId="29" fillId="0" borderId="85" xfId="0" applyFont="1" applyBorder="1" applyAlignment="1">
      <alignment vertical="center"/>
    </xf>
    <xf numFmtId="49" fontId="29" fillId="0" borderId="85" xfId="0" applyNumberFormat="1" applyFont="1" applyBorder="1" applyAlignment="1">
      <alignment horizontal="center" vertical="center"/>
    </xf>
    <xf numFmtId="0" fontId="54" fillId="0" borderId="10" xfId="0" applyFont="1" applyBorder="1" applyAlignment="1">
      <alignment vertical="center"/>
    </xf>
    <xf numFmtId="3" fontId="54" fillId="0" borderId="10" xfId="0" applyNumberFormat="1" applyFont="1" applyBorder="1" applyAlignment="1">
      <alignment horizontal="right" vertical="center"/>
    </xf>
    <xf numFmtId="3" fontId="64" fillId="0" borderId="10" xfId="0" applyNumberFormat="1" applyFont="1" applyBorder="1" applyAlignment="1">
      <alignment horizontal="right" vertical="center"/>
    </xf>
    <xf numFmtId="3" fontId="64" fillId="0" borderId="20" xfId="0" applyNumberFormat="1" applyFont="1" applyBorder="1" applyAlignment="1">
      <alignment horizontal="right" vertical="center"/>
    </xf>
    <xf numFmtId="0" fontId="54" fillId="0" borderId="14" xfId="0" applyFont="1" applyBorder="1" applyAlignment="1">
      <alignment vertical="center"/>
    </xf>
    <xf numFmtId="3" fontId="54" fillId="0" borderId="14" xfId="0" applyNumberFormat="1" applyFont="1" applyBorder="1" applyAlignment="1">
      <alignment horizontal="right" vertical="center"/>
    </xf>
    <xf numFmtId="3" fontId="64" fillId="0" borderId="45" xfId="0" applyNumberFormat="1" applyFont="1" applyBorder="1" applyAlignment="1">
      <alignment horizontal="right" vertical="center"/>
    </xf>
    <xf numFmtId="3" fontId="64" fillId="0" borderId="14" xfId="0" applyNumberFormat="1" applyFont="1" applyBorder="1" applyAlignment="1">
      <alignment horizontal="right" vertical="center"/>
    </xf>
    <xf numFmtId="3" fontId="64" fillId="0" borderId="44" xfId="0" applyNumberFormat="1" applyFont="1" applyBorder="1" applyAlignment="1">
      <alignment horizontal="right" vertical="center"/>
    </xf>
    <xf numFmtId="3" fontId="54" fillId="0" borderId="20" xfId="0" applyNumberFormat="1" applyFont="1" applyBorder="1" applyAlignment="1">
      <alignment horizontal="right" vertical="center"/>
    </xf>
    <xf numFmtId="3" fontId="54" fillId="0" borderId="44" xfId="0" applyNumberFormat="1" applyFont="1" applyBorder="1" applyAlignment="1">
      <alignment horizontal="right" vertical="center"/>
    </xf>
    <xf numFmtId="0" fontId="63" fillId="0" borderId="34" xfId="0" applyFont="1" applyBorder="1" applyAlignment="1">
      <alignment vertical="center" wrapText="1"/>
    </xf>
    <xf numFmtId="0" fontId="63" fillId="0" borderId="9" xfId="0" applyFont="1" applyBorder="1" applyAlignment="1">
      <alignment vertical="center"/>
    </xf>
    <xf numFmtId="3" fontId="63" fillId="0" borderId="9" xfId="0" applyNumberFormat="1" applyFont="1" applyBorder="1" applyAlignment="1">
      <alignment vertical="center"/>
    </xf>
    <xf numFmtId="3" fontId="63" fillId="0" borderId="3" xfId="0" applyNumberFormat="1" applyFont="1" applyBorder="1" applyAlignment="1">
      <alignment vertical="center"/>
    </xf>
    <xf numFmtId="0" fontId="64" fillId="0" borderId="10" xfId="0" applyFont="1" applyBorder="1" applyAlignment="1">
      <alignment vertical="center"/>
    </xf>
    <xf numFmtId="3" fontId="64" fillId="0" borderId="10" xfId="0" applyNumberFormat="1" applyFont="1" applyBorder="1" applyAlignment="1">
      <alignment vertical="center"/>
    </xf>
    <xf numFmtId="3" fontId="64" fillId="0" borderId="20" xfId="0" applyNumberFormat="1" applyFont="1" applyBorder="1" applyAlignment="1">
      <alignment vertical="center"/>
    </xf>
    <xf numFmtId="0" fontId="64" fillId="0" borderId="14" xfId="0" applyFont="1" applyBorder="1" applyAlignment="1">
      <alignment vertical="center"/>
    </xf>
    <xf numFmtId="3" fontId="63" fillId="0" borderId="14" xfId="0" applyNumberFormat="1" applyFont="1" applyBorder="1" applyAlignment="1">
      <alignment horizontal="right" vertical="center"/>
    </xf>
    <xf numFmtId="3" fontId="64" fillId="0" borderId="14" xfId="0" applyNumberFormat="1" applyFont="1" applyBorder="1" applyAlignment="1">
      <alignment vertical="center"/>
    </xf>
    <xf numFmtId="3" fontId="64" fillId="0" borderId="44" xfId="0" applyNumberFormat="1" applyFont="1" applyBorder="1" applyAlignment="1">
      <alignment vertical="center"/>
    </xf>
    <xf numFmtId="0" fontId="64" fillId="0" borderId="7" xfId="0" applyFont="1" applyBorder="1" applyAlignment="1">
      <alignment vertical="center"/>
    </xf>
    <xf numFmtId="3" fontId="63" fillId="0" borderId="44" xfId="0" applyNumberFormat="1" applyFont="1" applyBorder="1" applyAlignment="1">
      <alignment horizontal="right" vertical="center"/>
    </xf>
    <xf numFmtId="0" fontId="77" fillId="0" borderId="34" xfId="0" applyFont="1" applyBorder="1" applyAlignment="1">
      <alignment vertical="center"/>
    </xf>
    <xf numFmtId="0" fontId="77" fillId="0" borderId="9" xfId="0" applyFont="1" applyBorder="1" applyAlignment="1">
      <alignment vertical="center"/>
    </xf>
    <xf numFmtId="3" fontId="63" fillId="0" borderId="7" xfId="0" applyNumberFormat="1" applyFont="1" applyBorder="1" applyAlignment="1">
      <alignment vertical="center"/>
    </xf>
    <xf numFmtId="3" fontId="63" fillId="0" borderId="8" xfId="0" applyNumberFormat="1" applyFont="1" applyBorder="1" applyAlignment="1">
      <alignment vertical="center"/>
    </xf>
    <xf numFmtId="0" fontId="78" fillId="0" borderId="34" xfId="0" applyFont="1" applyBorder="1" applyAlignment="1">
      <alignment vertical="center"/>
    </xf>
    <xf numFmtId="0" fontId="78" fillId="0" borderId="9" xfId="0" applyFont="1" applyBorder="1" applyAlignment="1">
      <alignment vertical="center"/>
    </xf>
    <xf numFmtId="3" fontId="78" fillId="0" borderId="9" xfId="0" applyNumberFormat="1" applyFont="1" applyBorder="1" applyAlignment="1">
      <alignment vertical="center"/>
    </xf>
    <xf numFmtId="3" fontId="78" fillId="0" borderId="3" xfId="0" applyNumberFormat="1" applyFont="1" applyBorder="1" applyAlignment="1">
      <alignment vertical="center"/>
    </xf>
    <xf numFmtId="3" fontId="54" fillId="0" borderId="0" xfId="0" applyNumberFormat="1" applyFont="1" applyBorder="1" applyAlignment="1">
      <alignment vertical="center"/>
    </xf>
    <xf numFmtId="0" fontId="29" fillId="0" borderId="25" xfId="0" applyFont="1" applyBorder="1" applyAlignment="1">
      <alignment vertical="center" wrapText="1"/>
    </xf>
    <xf numFmtId="0" fontId="54" fillId="0" borderId="16" xfId="0" applyFont="1" applyBorder="1" applyAlignment="1">
      <alignment vertical="center"/>
    </xf>
    <xf numFmtId="3" fontId="29" fillId="0" borderId="16" xfId="0" applyNumberFormat="1" applyFont="1" applyBorder="1" applyAlignment="1">
      <alignment vertical="center"/>
    </xf>
    <xf numFmtId="3" fontId="29" fillId="0" borderId="23" xfId="0" applyNumberFormat="1" applyFont="1" applyBorder="1" applyAlignment="1">
      <alignment vertical="center"/>
    </xf>
    <xf numFmtId="3" fontId="54" fillId="0" borderId="0" xfId="0" applyNumberFormat="1" applyFont="1" applyBorder="1" applyAlignment="1">
      <alignment horizontal="center" vertical="center"/>
    </xf>
    <xf numFmtId="3" fontId="29" fillId="0" borderId="7" xfId="0" applyNumberFormat="1" applyFont="1" applyBorder="1" applyAlignment="1">
      <alignment horizontal="center" vertical="center"/>
    </xf>
    <xf numFmtId="0" fontId="54" fillId="0" borderId="34" xfId="0" applyFont="1" applyBorder="1" applyAlignment="1">
      <alignment horizontal="left" vertical="center"/>
    </xf>
    <xf numFmtId="0" fontId="54" fillId="0" borderId="34" xfId="0" applyFont="1" applyBorder="1" applyAlignment="1">
      <alignment horizontal="left" vertical="center" wrapText="1"/>
    </xf>
    <xf numFmtId="0" fontId="54" fillId="0" borderId="5" xfId="0" applyFont="1" applyBorder="1" applyAlignment="1">
      <alignment horizontal="left" vertical="center"/>
    </xf>
    <xf numFmtId="0" fontId="54" fillId="0" borderId="25" xfId="0" applyFont="1" applyBorder="1" applyAlignment="1">
      <alignment horizontal="left" vertical="center"/>
    </xf>
    <xf numFmtId="3" fontId="54" fillId="0" borderId="0" xfId="0" applyNumberFormat="1" applyFont="1" applyAlignment="1">
      <alignment horizontal="center" vertical="center"/>
    </xf>
    <xf numFmtId="0" fontId="54" fillId="0" borderId="48" xfId="0" applyFont="1" applyBorder="1" applyAlignment="1">
      <alignment horizontal="center" vertical="center"/>
    </xf>
    <xf numFmtId="3" fontId="54" fillId="0" borderId="48" xfId="0" applyNumberFormat="1" applyFont="1" applyBorder="1" applyAlignment="1">
      <alignment horizontal="center" vertical="center"/>
    </xf>
    <xf numFmtId="0" fontId="29" fillId="0" borderId="25" xfId="0" applyFont="1" applyBorder="1" applyAlignment="1">
      <alignment horizontal="left" vertical="center"/>
    </xf>
    <xf numFmtId="0" fontId="54" fillId="0" borderId="1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 wrapText="1"/>
    </xf>
    <xf numFmtId="3" fontId="54" fillId="0" borderId="9" xfId="0" applyNumberFormat="1" applyFont="1" applyBorder="1" applyAlignment="1">
      <alignment horizontal="right" vertical="center" wrapText="1"/>
    </xf>
    <xf numFmtId="3" fontId="54" fillId="0" borderId="16" xfId="0" applyNumberFormat="1" applyFont="1" applyBorder="1" applyAlignment="1">
      <alignment horizontal="right" vertical="center"/>
    </xf>
    <xf numFmtId="0" fontId="54" fillId="0" borderId="11" xfId="0" applyFont="1" applyBorder="1" applyAlignment="1">
      <alignment horizontal="center" vertical="center"/>
    </xf>
    <xf numFmtId="3" fontId="54" fillId="0" borderId="23" xfId="0" applyNumberFormat="1" applyFont="1" applyBorder="1" applyAlignment="1">
      <alignment horizontal="right" vertical="center"/>
    </xf>
    <xf numFmtId="0" fontId="29" fillId="0" borderId="8" xfId="0" applyFont="1" applyBorder="1" applyAlignment="1">
      <alignment horizontal="center" vertical="center"/>
    </xf>
    <xf numFmtId="3" fontId="54" fillId="0" borderId="3" xfId="0" applyNumberFormat="1" applyFont="1" applyBorder="1" applyAlignment="1">
      <alignment horizontal="right" vertical="center" wrapText="1"/>
    </xf>
    <xf numFmtId="0" fontId="29" fillId="0" borderId="54" xfId="51" applyFont="1" applyFill="1" applyBorder="1" applyAlignment="1" applyProtection="1">
      <alignment horizontal="center" vertical="center" wrapText="1"/>
    </xf>
    <xf numFmtId="0" fontId="29" fillId="0" borderId="42" xfId="51" applyFont="1" applyFill="1" applyBorder="1" applyAlignment="1" applyProtection="1">
      <alignment horizontal="center" vertical="center"/>
    </xf>
    <xf numFmtId="0" fontId="29" fillId="0" borderId="24" xfId="51" applyFont="1" applyFill="1" applyBorder="1" applyAlignment="1" applyProtection="1">
      <alignment horizontal="center" vertical="center"/>
    </xf>
    <xf numFmtId="0" fontId="54" fillId="0" borderId="0" xfId="51" applyFont="1" applyFill="1" applyAlignment="1" applyProtection="1">
      <alignment vertical="center"/>
    </xf>
    <xf numFmtId="166" fontId="54" fillId="0" borderId="48" xfId="51" applyNumberFormat="1" applyFont="1" applyFill="1" applyBorder="1" applyAlignment="1" applyProtection="1">
      <alignment vertical="center"/>
      <protection locked="0"/>
    </xf>
    <xf numFmtId="166" fontId="54" fillId="0" borderId="48" xfId="51" applyNumberFormat="1" applyFont="1" applyFill="1" applyBorder="1" applyAlignment="1" applyProtection="1">
      <alignment vertical="center"/>
    </xf>
    <xf numFmtId="166" fontId="54" fillId="0" borderId="11" xfId="51" quotePrefix="1" applyNumberFormat="1" applyFont="1" applyFill="1" applyBorder="1" applyAlignment="1" applyProtection="1">
      <alignment horizontal="center" vertical="center"/>
    </xf>
    <xf numFmtId="0" fontId="64" fillId="0" borderId="9" xfId="0" applyFont="1" applyBorder="1" applyAlignment="1">
      <alignment horizontal="left" vertical="center" wrapText="1"/>
    </xf>
    <xf numFmtId="166" fontId="54" fillId="0" borderId="9" xfId="51" applyNumberFormat="1" applyFont="1" applyFill="1" applyBorder="1" applyAlignment="1" applyProtection="1">
      <alignment vertical="center"/>
      <protection locked="0"/>
    </xf>
    <xf numFmtId="166" fontId="54" fillId="0" borderId="3" xfId="51" applyNumberFormat="1" applyFont="1" applyFill="1" applyBorder="1" applyAlignment="1" applyProtection="1">
      <alignment vertical="center"/>
    </xf>
    <xf numFmtId="0" fontId="54" fillId="0" borderId="0" xfId="51" applyFont="1" applyFill="1" applyAlignment="1" applyProtection="1">
      <alignment vertical="center"/>
      <protection locked="0"/>
    </xf>
    <xf numFmtId="166" fontId="54" fillId="0" borderId="7" xfId="51" applyNumberFormat="1" applyFont="1" applyFill="1" applyBorder="1" applyAlignment="1" applyProtection="1">
      <alignment vertical="center"/>
      <protection locked="0"/>
    </xf>
    <xf numFmtId="166" fontId="54" fillId="0" borderId="8" xfId="51" applyNumberFormat="1" applyFont="1" applyFill="1" applyBorder="1" applyAlignment="1" applyProtection="1">
      <alignment vertical="center"/>
    </xf>
    <xf numFmtId="0" fontId="76" fillId="0" borderId="0" xfId="0" applyFont="1" applyFill="1" applyAlignment="1">
      <alignment horizontal="right" vertical="center"/>
    </xf>
    <xf numFmtId="0" fontId="54" fillId="0" borderId="25" xfId="51" applyFont="1" applyFill="1" applyBorder="1" applyAlignment="1" applyProtection="1">
      <alignment horizontal="left" vertical="center"/>
    </xf>
    <xf numFmtId="0" fontId="54" fillId="0" borderId="4" xfId="51" applyFont="1" applyFill="1" applyBorder="1" applyAlignment="1" applyProtection="1">
      <alignment horizontal="left" vertical="center"/>
    </xf>
    <xf numFmtId="0" fontId="54" fillId="0" borderId="48" xfId="51" applyFont="1" applyFill="1" applyBorder="1" applyAlignment="1" applyProtection="1">
      <alignment horizontal="left" vertical="center" wrapText="1"/>
    </xf>
    <xf numFmtId="0" fontId="54" fillId="0" borderId="34" xfId="51" applyFont="1" applyFill="1" applyBorder="1" applyAlignment="1" applyProtection="1">
      <alignment horizontal="left" vertical="center"/>
    </xf>
    <xf numFmtId="0" fontId="54" fillId="0" borderId="9" xfId="51" applyFont="1" applyFill="1" applyBorder="1" applyAlignment="1" applyProtection="1">
      <alignment horizontal="left" vertical="center"/>
    </xf>
    <xf numFmtId="0" fontId="54" fillId="0" borderId="1" xfId="51" applyFont="1" applyFill="1" applyBorder="1" applyAlignment="1" applyProtection="1">
      <alignment horizontal="left" vertical="center"/>
    </xf>
    <xf numFmtId="0" fontId="54" fillId="0" borderId="7" xfId="51" applyFont="1" applyFill="1" applyBorder="1" applyAlignment="1" applyProtection="1">
      <alignment horizontal="left" vertical="center"/>
    </xf>
    <xf numFmtId="0" fontId="54" fillId="0" borderId="9" xfId="51" applyFont="1" applyFill="1" applyBorder="1" applyAlignment="1" applyProtection="1">
      <alignment horizontal="left" vertical="center" wrapText="1"/>
    </xf>
    <xf numFmtId="0" fontId="29" fillId="0" borderId="0" xfId="51" applyFont="1" applyFill="1" applyAlignment="1" applyProtection="1">
      <alignment vertical="center"/>
      <protection locked="0"/>
    </xf>
    <xf numFmtId="0" fontId="54" fillId="9" borderId="25" xfId="51" applyFont="1" applyFill="1" applyBorder="1" applyAlignment="1" applyProtection="1">
      <alignment horizontal="left" vertical="center"/>
    </xf>
    <xf numFmtId="0" fontId="29" fillId="9" borderId="16" xfId="51" applyFont="1" applyFill="1" applyBorder="1" applyAlignment="1" applyProtection="1">
      <alignment horizontal="left" vertical="center"/>
    </xf>
    <xf numFmtId="166" fontId="29" fillId="9" borderId="16" xfId="51" applyNumberFormat="1" applyFont="1" applyFill="1" applyBorder="1" applyAlignment="1" applyProtection="1">
      <alignment vertical="center"/>
    </xf>
    <xf numFmtId="166" fontId="29" fillId="9" borderId="23" xfId="51" applyNumberFormat="1" applyFont="1" applyFill="1" applyBorder="1" applyAlignment="1" applyProtection="1">
      <alignment vertical="center"/>
    </xf>
    <xf numFmtId="0" fontId="29" fillId="9" borderId="25" xfId="51" applyFont="1" applyFill="1" applyBorder="1" applyAlignment="1" applyProtection="1">
      <alignment horizontal="left" vertical="center"/>
    </xf>
    <xf numFmtId="166" fontId="29" fillId="9" borderId="23" xfId="51" quotePrefix="1" applyNumberFormat="1" applyFont="1" applyFill="1" applyBorder="1" applyAlignment="1" applyProtection="1">
      <alignment horizontal="center" vertical="center"/>
    </xf>
    <xf numFmtId="0" fontId="54" fillId="0" borderId="0" xfId="0" applyFont="1" applyAlignment="1">
      <alignment horizontal="center" vertical="center"/>
    </xf>
    <xf numFmtId="3" fontId="29" fillId="0" borderId="0" xfId="4" applyNumberFormat="1" applyFont="1" applyBorder="1" applyAlignment="1">
      <alignment horizontal="center" vertical="center"/>
    </xf>
    <xf numFmtId="0" fontId="54" fillId="0" borderId="0" xfId="4" applyFont="1" applyAlignment="1">
      <alignment vertical="center"/>
    </xf>
    <xf numFmtId="0" fontId="29" fillId="0" borderId="0" xfId="4" applyFont="1" applyAlignment="1">
      <alignment horizontal="left" vertical="center"/>
    </xf>
    <xf numFmtId="3" fontId="29" fillId="0" borderId="0" xfId="4" applyNumberFormat="1" applyFont="1" applyAlignment="1">
      <alignment vertical="center"/>
    </xf>
    <xf numFmtId="0" fontId="54" fillId="0" borderId="0" xfId="4" applyFont="1" applyAlignment="1">
      <alignment horizontal="left" vertical="center"/>
    </xf>
    <xf numFmtId="0" fontId="29" fillId="0" borderId="0" xfId="4" applyFont="1" applyAlignment="1">
      <alignment vertical="center"/>
    </xf>
    <xf numFmtId="3" fontId="54" fillId="0" borderId="0" xfId="0" applyNumberFormat="1" applyFont="1"/>
    <xf numFmtId="41" fontId="54" fillId="0" borderId="0" xfId="0" applyNumberFormat="1" applyFont="1"/>
    <xf numFmtId="0" fontId="80" fillId="0" borderId="0" xfId="0" applyFont="1"/>
    <xf numFmtId="0" fontId="80" fillId="0" borderId="16" xfId="0" applyFont="1" applyBorder="1" applyAlignment="1">
      <alignment horizontal="center" vertical="center"/>
    </xf>
    <xf numFmtId="0" fontId="80" fillId="0" borderId="23" xfId="0" applyFont="1" applyBorder="1" applyAlignment="1">
      <alignment horizontal="center" vertical="center" wrapText="1"/>
    </xf>
    <xf numFmtId="0" fontId="54" fillId="0" borderId="0" xfId="0" applyFont="1" applyAlignment="1">
      <alignment horizontal="left" wrapText="1"/>
    </xf>
    <xf numFmtId="0" fontId="80" fillId="0" borderId="25" xfId="0" applyFont="1" applyBorder="1" applyAlignment="1">
      <alignment horizontal="left" vertical="center" wrapText="1"/>
    </xf>
    <xf numFmtId="0" fontId="54" fillId="0" borderId="34" xfId="0" applyFont="1" applyFill="1" applyBorder="1" applyAlignment="1">
      <alignment horizontal="center" vertical="center" wrapText="1"/>
    </xf>
    <xf numFmtId="14" fontId="54" fillId="0" borderId="9" xfId="0" applyNumberFormat="1" applyFont="1" applyFill="1" applyBorder="1" applyAlignment="1">
      <alignment horizontal="center" vertical="center" wrapText="1"/>
    </xf>
    <xf numFmtId="14" fontId="54" fillId="0" borderId="34" xfId="0" applyNumberFormat="1" applyFont="1" applyFill="1" applyBorder="1" applyAlignment="1">
      <alignment horizontal="center" vertical="center" wrapText="1"/>
    </xf>
    <xf numFmtId="0" fontId="54" fillId="0" borderId="9" xfId="0" applyFont="1" applyFill="1" applyBorder="1" applyAlignment="1">
      <alignment horizontal="center" vertical="center" wrapText="1"/>
    </xf>
    <xf numFmtId="168" fontId="54" fillId="0" borderId="34" xfId="0" applyNumberFormat="1" applyFont="1" applyFill="1" applyBorder="1" applyAlignment="1">
      <alignment horizontal="center" vertical="center" wrapText="1"/>
    </xf>
    <xf numFmtId="14" fontId="54" fillId="0" borderId="9" xfId="0" applyNumberFormat="1" applyFont="1" applyFill="1" applyBorder="1" applyAlignment="1">
      <alignment horizontal="center" vertical="center"/>
    </xf>
    <xf numFmtId="0" fontId="54" fillId="0" borderId="0" xfId="0" applyFont="1" applyAlignment="1">
      <alignment horizontal="left" vertical="center"/>
    </xf>
    <xf numFmtId="0" fontId="54" fillId="0" borderId="0" xfId="0" applyFont="1" applyAlignment="1">
      <alignment horizontal="right" vertical="center"/>
    </xf>
    <xf numFmtId="6" fontId="54" fillId="0" borderId="21" xfId="0" applyNumberFormat="1" applyFont="1" applyFill="1" applyBorder="1" applyAlignment="1">
      <alignment horizontal="center" vertical="center" wrapText="1"/>
    </xf>
    <xf numFmtId="0" fontId="29" fillId="0" borderId="25" xfId="0" applyFont="1" applyBorder="1" applyAlignment="1">
      <alignment horizontal="center" vertical="center" wrapText="1"/>
    </xf>
    <xf numFmtId="166" fontId="55" fillId="0" borderId="0" xfId="0" applyNumberFormat="1" applyFont="1" applyFill="1" applyAlignment="1">
      <alignment horizontal="center" vertical="center" wrapText="1"/>
    </xf>
    <xf numFmtId="166" fontId="29" fillId="0" borderId="0" xfId="0" applyNumberFormat="1" applyFont="1" applyFill="1" applyAlignment="1">
      <alignment horizontal="center" vertical="center" wrapText="1"/>
    </xf>
    <xf numFmtId="166" fontId="76" fillId="0" borderId="0" xfId="0" applyNumberFormat="1" applyFont="1" applyFill="1" applyAlignment="1">
      <alignment horizontal="right" vertical="center"/>
    </xf>
    <xf numFmtId="0" fontId="29" fillId="0" borderId="25" xfId="0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55" fillId="0" borderId="5" xfId="0" applyFont="1" applyFill="1" applyBorder="1" applyAlignment="1">
      <alignment horizontal="center" vertical="center" wrapText="1"/>
    </xf>
    <xf numFmtId="0" fontId="55" fillId="0" borderId="4" xfId="0" applyFont="1" applyFill="1" applyBorder="1" applyAlignment="1">
      <alignment horizontal="center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54" fillId="0" borderId="5" xfId="0" applyFont="1" applyFill="1" applyBorder="1" applyAlignment="1">
      <alignment horizontal="center" vertical="center" wrapText="1"/>
    </xf>
    <xf numFmtId="0" fontId="65" fillId="9" borderId="15" xfId="0" applyFont="1" applyFill="1" applyBorder="1" applyAlignment="1">
      <alignment vertical="center"/>
    </xf>
    <xf numFmtId="0" fontId="65" fillId="9" borderId="6" xfId="0" applyFont="1" applyFill="1" applyBorder="1" applyAlignment="1">
      <alignment vertical="center"/>
    </xf>
    <xf numFmtId="0" fontId="67" fillId="0" borderId="0" xfId="0" applyFont="1" applyAlignment="1">
      <alignment vertical="center"/>
    </xf>
    <xf numFmtId="0" fontId="63" fillId="0" borderId="0" xfId="0" applyFont="1" applyFill="1" applyAlignment="1">
      <alignment vertical="center"/>
    </xf>
    <xf numFmtId="0" fontId="56" fillId="0" borderId="0" xfId="0" applyFont="1" applyFill="1"/>
    <xf numFmtId="0" fontId="54" fillId="0" borderId="0" xfId="0" applyFont="1" applyFill="1" applyAlignment="1">
      <alignment horizontal="center"/>
    </xf>
    <xf numFmtId="0" fontId="54" fillId="0" borderId="0" xfId="0" applyFont="1" applyFill="1"/>
    <xf numFmtId="6" fontId="54" fillId="0" borderId="9" xfId="0" applyNumberFormat="1" applyFont="1" applyFill="1" applyBorder="1" applyAlignment="1">
      <alignment horizontal="center" vertical="center" wrapText="1"/>
    </xf>
    <xf numFmtId="0" fontId="56" fillId="0" borderId="0" xfId="0" applyFont="1" applyFill="1" applyAlignment="1">
      <alignment horizontal="center" vertical="center"/>
    </xf>
    <xf numFmtId="0" fontId="56" fillId="0" borderId="0" xfId="0" applyFont="1" applyFill="1" applyAlignment="1">
      <alignment horizontal="left" vertical="center"/>
    </xf>
    <xf numFmtId="0" fontId="56" fillId="0" borderId="0" xfId="0" applyFont="1" applyFill="1" applyAlignment="1">
      <alignment horizontal="right" vertical="center"/>
    </xf>
    <xf numFmtId="0" fontId="54" fillId="0" borderId="9" xfId="2" applyFont="1" applyFill="1" applyBorder="1" applyAlignment="1">
      <alignment horizontal="left" vertical="center" wrapText="1"/>
    </xf>
    <xf numFmtId="0" fontId="54" fillId="0" borderId="9" xfId="2" applyFont="1" applyFill="1" applyBorder="1" applyAlignment="1">
      <alignment horizontal="center" vertical="center" wrapText="1"/>
    </xf>
    <xf numFmtId="0" fontId="54" fillId="0" borderId="9" xfId="2" applyFont="1" applyFill="1" applyBorder="1" applyAlignment="1">
      <alignment horizontal="right" vertical="center" wrapText="1"/>
    </xf>
    <xf numFmtId="6" fontId="54" fillId="0" borderId="9" xfId="2" applyNumberFormat="1" applyFont="1" applyFill="1" applyBorder="1" applyAlignment="1">
      <alignment horizontal="right" vertical="center" wrapText="1"/>
    </xf>
    <xf numFmtId="14" fontId="54" fillId="0" borderId="9" xfId="2" applyNumberFormat="1" applyFont="1" applyFill="1" applyBorder="1" applyAlignment="1">
      <alignment horizontal="center" vertical="center" wrapText="1"/>
    </xf>
    <xf numFmtId="0" fontId="54" fillId="0" borderId="0" xfId="0" applyFont="1" applyFill="1" applyAlignment="1">
      <alignment horizontal="left" vertical="center"/>
    </xf>
    <xf numFmtId="0" fontId="54" fillId="0" borderId="0" xfId="0" applyFont="1" applyFill="1" applyAlignment="1">
      <alignment horizontal="center" vertical="center"/>
    </xf>
    <xf numFmtId="169" fontId="54" fillId="0" borderId="3" xfId="0" applyNumberFormat="1" applyFont="1" applyFill="1" applyBorder="1" applyAlignment="1">
      <alignment horizontal="right" vertical="center" wrapText="1" indent="2"/>
    </xf>
    <xf numFmtId="169" fontId="54" fillId="0" borderId="3" xfId="2" applyNumberFormat="1" applyFont="1" applyFill="1" applyBorder="1" applyAlignment="1">
      <alignment horizontal="right" vertical="center" wrapText="1" indent="2"/>
    </xf>
    <xf numFmtId="168" fontId="54" fillId="0" borderId="36" xfId="0" applyNumberFormat="1" applyFont="1" applyFill="1" applyBorder="1" applyAlignment="1">
      <alignment horizontal="center" vertical="center" wrapText="1"/>
    </xf>
    <xf numFmtId="0" fontId="54" fillId="0" borderId="21" xfId="0" applyFont="1" applyFill="1" applyBorder="1" applyAlignment="1">
      <alignment horizontal="left" vertical="center" wrapText="1"/>
    </xf>
    <xf numFmtId="14" fontId="54" fillId="0" borderId="21" xfId="0" applyNumberFormat="1" applyFont="1" applyFill="1" applyBorder="1" applyAlignment="1">
      <alignment horizontal="center" vertical="center" wrapText="1"/>
    </xf>
    <xf numFmtId="169" fontId="54" fillId="0" borderId="22" xfId="0" applyNumberFormat="1" applyFont="1" applyFill="1" applyBorder="1" applyAlignment="1">
      <alignment horizontal="right" vertical="center" wrapText="1" indent="2"/>
    </xf>
    <xf numFmtId="14" fontId="54" fillId="0" borderId="7" xfId="0" applyNumberFormat="1" applyFont="1" applyFill="1" applyBorder="1" applyAlignment="1">
      <alignment horizontal="center" vertical="center" wrapText="1"/>
    </xf>
    <xf numFmtId="0" fontId="54" fillId="0" borderId="7" xfId="0" applyFont="1" applyFill="1" applyBorder="1" applyAlignment="1">
      <alignment horizontal="center" vertical="center" wrapText="1"/>
    </xf>
    <xf numFmtId="169" fontId="54" fillId="0" borderId="8" xfId="0" applyNumberFormat="1" applyFont="1" applyFill="1" applyBorder="1" applyAlignment="1">
      <alignment horizontal="right" vertical="center" wrapText="1" indent="2"/>
    </xf>
    <xf numFmtId="0" fontId="29" fillId="0" borderId="23" xfId="0" applyFont="1" applyFill="1" applyBorder="1" applyAlignment="1">
      <alignment horizontal="center" vertical="center" wrapText="1"/>
    </xf>
    <xf numFmtId="0" fontId="54" fillId="0" borderId="7" xfId="2" applyFont="1" applyFill="1" applyBorder="1" applyAlignment="1">
      <alignment horizontal="left" vertical="center" wrapText="1"/>
    </xf>
    <xf numFmtId="0" fontId="54" fillId="0" borderId="7" xfId="2" applyFont="1" applyFill="1" applyBorder="1" applyAlignment="1">
      <alignment horizontal="center" vertical="center" wrapText="1"/>
    </xf>
    <xf numFmtId="0" fontId="54" fillId="0" borderId="7" xfId="2" applyFont="1" applyFill="1" applyBorder="1" applyAlignment="1">
      <alignment horizontal="right" vertical="center" wrapText="1"/>
    </xf>
    <xf numFmtId="14" fontId="54" fillId="0" borderId="1" xfId="2" applyNumberFormat="1" applyFont="1" applyFill="1" applyBorder="1" applyAlignment="1">
      <alignment horizontal="center" vertical="center"/>
    </xf>
    <xf numFmtId="169" fontId="54" fillId="0" borderId="8" xfId="2" applyNumberFormat="1" applyFont="1" applyFill="1" applyBorder="1" applyAlignment="1">
      <alignment horizontal="right" vertical="center" wrapText="1" indent="2"/>
    </xf>
    <xf numFmtId="14" fontId="54" fillId="0" borderId="34" xfId="2" applyNumberFormat="1" applyFont="1" applyFill="1" applyBorder="1" applyAlignment="1">
      <alignment horizontal="center" vertical="center"/>
    </xf>
    <xf numFmtId="14" fontId="54" fillId="0" borderId="34" xfId="2" applyNumberFormat="1" applyFont="1" applyFill="1" applyBorder="1" applyAlignment="1">
      <alignment horizontal="center" vertical="center" wrapText="1"/>
    </xf>
    <xf numFmtId="14" fontId="54" fillId="0" borderId="36" xfId="2" applyNumberFormat="1" applyFont="1" applyFill="1" applyBorder="1" applyAlignment="1">
      <alignment horizontal="center" vertical="center"/>
    </xf>
    <xf numFmtId="0" fontId="54" fillId="0" borderId="21" xfId="2" applyFont="1" applyFill="1" applyBorder="1" applyAlignment="1">
      <alignment horizontal="left" vertical="center" wrapText="1"/>
    </xf>
    <xf numFmtId="0" fontId="54" fillId="0" borderId="21" xfId="2" applyFont="1" applyFill="1" applyBorder="1" applyAlignment="1">
      <alignment horizontal="center" vertical="center" wrapText="1"/>
    </xf>
    <xf numFmtId="0" fontId="54" fillId="0" borderId="21" xfId="2" applyFont="1" applyFill="1" applyBorder="1" applyAlignment="1">
      <alignment horizontal="right" vertical="center" wrapText="1"/>
    </xf>
    <xf numFmtId="169" fontId="54" fillId="0" borderId="22" xfId="2" applyNumberFormat="1" applyFont="1" applyFill="1" applyBorder="1" applyAlignment="1">
      <alignment horizontal="right" vertical="center" wrapText="1" indent="2"/>
    </xf>
    <xf numFmtId="3" fontId="10" fillId="6" borderId="2" xfId="0" applyNumberFormat="1" applyFont="1" applyFill="1" applyBorder="1" applyAlignment="1">
      <alignment vertical="center"/>
    </xf>
    <xf numFmtId="2" fontId="10" fillId="6" borderId="2" xfId="0" applyNumberFormat="1" applyFont="1" applyFill="1" applyBorder="1" applyAlignment="1">
      <alignment horizontal="center" vertical="center"/>
    </xf>
    <xf numFmtId="2" fontId="12" fillId="6" borderId="2" xfId="0" applyNumberFormat="1" applyFont="1" applyFill="1" applyBorder="1" applyAlignment="1">
      <alignment horizontal="center" vertical="center"/>
    </xf>
    <xf numFmtId="2" fontId="7" fillId="6" borderId="27" xfId="0" applyNumberFormat="1" applyFont="1" applyFill="1" applyBorder="1" applyAlignment="1" applyProtection="1">
      <alignment horizontal="center" vertical="center"/>
    </xf>
    <xf numFmtId="3" fontId="64" fillId="6" borderId="0" xfId="0" applyNumberFormat="1" applyFont="1" applyFill="1" applyBorder="1" applyAlignment="1"/>
    <xf numFmtId="49" fontId="10" fillId="6" borderId="34" xfId="0" applyNumberFormat="1" applyFont="1" applyFill="1" applyBorder="1" applyAlignment="1">
      <alignment horizontal="center"/>
    </xf>
    <xf numFmtId="4" fontId="9" fillId="6" borderId="3" xfId="0" applyNumberFormat="1" applyFont="1" applyFill="1" applyBorder="1" applyProtection="1"/>
    <xf numFmtId="49" fontId="7" fillId="6" borderId="34" xfId="0" applyNumberFormat="1" applyFont="1" applyFill="1" applyBorder="1" applyAlignment="1" applyProtection="1">
      <alignment horizontal="center" vertical="center"/>
    </xf>
    <xf numFmtId="49" fontId="11" fillId="6" borderId="34" xfId="0" applyNumberFormat="1" applyFont="1" applyFill="1" applyBorder="1" applyAlignment="1" applyProtection="1">
      <alignment horizontal="center" vertical="center"/>
    </xf>
    <xf numFmtId="4" fontId="11" fillId="6" borderId="3" xfId="0" applyNumberFormat="1" applyFont="1" applyFill="1" applyBorder="1" applyAlignment="1" applyProtection="1">
      <alignment horizontal="right" vertical="center" indent="3"/>
    </xf>
    <xf numFmtId="4" fontId="7" fillId="6" borderId="3" xfId="0" applyNumberFormat="1" applyFont="1" applyFill="1" applyBorder="1" applyAlignment="1" applyProtection="1">
      <alignment horizontal="right" vertical="center" indent="3"/>
    </xf>
    <xf numFmtId="49" fontId="7" fillId="6" borderId="5" xfId="0" applyNumberFormat="1" applyFont="1" applyFill="1" applyBorder="1" applyAlignment="1" applyProtection="1">
      <alignment horizontal="center" vertical="center"/>
    </xf>
    <xf numFmtId="3" fontId="7" fillId="6" borderId="19" xfId="0" applyNumberFormat="1" applyFont="1" applyFill="1" applyBorder="1" applyAlignment="1">
      <alignment vertical="center"/>
    </xf>
    <xf numFmtId="4" fontId="7" fillId="6" borderId="19" xfId="0" applyNumberFormat="1" applyFont="1" applyFill="1" applyBorder="1" applyAlignment="1" applyProtection="1">
      <alignment horizontal="right" vertical="center" indent="3"/>
    </xf>
    <xf numFmtId="4" fontId="7" fillId="6" borderId="47" xfId="0" applyNumberFormat="1" applyFont="1" applyFill="1" applyBorder="1" applyAlignment="1" applyProtection="1">
      <alignment horizontal="right" vertical="center" indent="3"/>
    </xf>
    <xf numFmtId="4" fontId="7" fillId="9" borderId="16" xfId="0" applyNumberFormat="1" applyFont="1" applyFill="1" applyBorder="1" applyAlignment="1" applyProtection="1">
      <alignment horizontal="right" vertical="center" indent="3"/>
    </xf>
    <xf numFmtId="4" fontId="7" fillId="9" borderId="23" xfId="0" applyNumberFormat="1" applyFont="1" applyFill="1" applyBorder="1" applyAlignment="1" applyProtection="1">
      <alignment horizontal="right" vertical="center" indent="3"/>
    </xf>
    <xf numFmtId="49" fontId="10" fillId="6" borderId="1" xfId="0" applyNumberFormat="1" applyFont="1" applyFill="1" applyBorder="1" applyAlignment="1">
      <alignment horizontal="center"/>
    </xf>
    <xf numFmtId="0" fontId="9" fillId="6" borderId="7" xfId="0" applyFont="1" applyFill="1" applyBorder="1"/>
    <xf numFmtId="4" fontId="9" fillId="6" borderId="8" xfId="0" applyNumberFormat="1" applyFont="1" applyFill="1" applyBorder="1" applyProtection="1"/>
    <xf numFmtId="0" fontId="65" fillId="0" borderId="25" xfId="4" applyFont="1" applyBorder="1" applyAlignment="1">
      <alignment horizontal="center" vertical="center" wrapText="1"/>
    </xf>
    <xf numFmtId="0" fontId="65" fillId="0" borderId="6" xfId="4" applyFont="1" applyBorder="1" applyAlignment="1">
      <alignment horizontal="center" vertical="center" wrapText="1"/>
    </xf>
    <xf numFmtId="0" fontId="67" fillId="0" borderId="0" xfId="4" applyFont="1" applyAlignment="1">
      <alignment vertical="center"/>
    </xf>
    <xf numFmtId="0" fontId="65" fillId="3" borderId="1" xfId="4" applyFont="1" applyFill="1" applyBorder="1" applyAlignment="1">
      <alignment horizontal="left" vertical="center" wrapText="1"/>
    </xf>
    <xf numFmtId="0" fontId="68" fillId="0" borderId="34" xfId="0" applyFont="1" applyBorder="1" applyAlignment="1">
      <alignment horizontal="left" vertical="center" wrapText="1"/>
    </xf>
    <xf numFmtId="0" fontId="83" fillId="0" borderId="0" xfId="4" applyFont="1" applyAlignment="1">
      <alignment vertical="center"/>
    </xf>
    <xf numFmtId="0" fontId="67" fillId="0" borderId="34" xfId="4" applyFont="1" applyFill="1" applyBorder="1" applyAlignment="1">
      <alignment vertical="center"/>
    </xf>
    <xf numFmtId="0" fontId="67" fillId="0" borderId="0" xfId="4" applyFont="1" applyFill="1" applyAlignment="1">
      <alignment vertical="center"/>
    </xf>
    <xf numFmtId="0" fontId="65" fillId="3" borderId="34" xfId="4" applyFont="1" applyFill="1" applyBorder="1" applyAlignment="1">
      <alignment horizontal="left" vertical="center"/>
    </xf>
    <xf numFmtId="0" fontId="67" fillId="0" borderId="0" xfId="4" applyFont="1" applyFill="1" applyAlignment="1">
      <alignment vertical="center" wrapText="1"/>
    </xf>
    <xf numFmtId="0" fontId="67" fillId="0" borderId="34" xfId="4" applyFont="1" applyBorder="1" applyAlignment="1">
      <alignment horizontal="left" vertical="center"/>
    </xf>
    <xf numFmtId="0" fontId="65" fillId="9" borderId="34" xfId="4" applyFont="1" applyFill="1" applyBorder="1" applyAlignment="1">
      <alignment horizontal="left" vertical="center" wrapText="1"/>
    </xf>
    <xf numFmtId="0" fontId="65" fillId="0" borderId="0" xfId="4" applyFont="1" applyFill="1" applyAlignment="1">
      <alignment vertical="center"/>
    </xf>
    <xf numFmtId="0" fontId="65" fillId="0" borderId="34" xfId="4" applyNumberFormat="1" applyFont="1" applyFill="1" applyBorder="1" applyAlignment="1">
      <alignment horizontal="left" vertical="center" wrapText="1"/>
    </xf>
    <xf numFmtId="0" fontId="67" fillId="0" borderId="0" xfId="4" applyNumberFormat="1" applyFont="1" applyFill="1" applyAlignment="1">
      <alignment vertical="center" wrapText="1"/>
    </xf>
    <xf numFmtId="3" fontId="67" fillId="0" borderId="34" xfId="4" applyNumberFormat="1" applyFont="1" applyBorder="1" applyAlignment="1">
      <alignment horizontal="left" vertical="center" wrapText="1"/>
    </xf>
    <xf numFmtId="0" fontId="67" fillId="0" borderId="5" xfId="4" applyFont="1" applyBorder="1" applyAlignment="1">
      <alignment horizontal="left" vertical="center"/>
    </xf>
    <xf numFmtId="0" fontId="65" fillId="4" borderId="25" xfId="4" applyFont="1" applyFill="1" applyBorder="1" applyAlignment="1">
      <alignment horizontal="left" vertical="center"/>
    </xf>
    <xf numFmtId="0" fontId="65" fillId="9" borderId="25" xfId="4" applyFont="1" applyFill="1" applyBorder="1" applyAlignment="1">
      <alignment horizontal="left" vertical="center" wrapText="1"/>
    </xf>
    <xf numFmtId="0" fontId="67" fillId="0" borderId="0" xfId="4" applyFont="1" applyFill="1" applyAlignment="1">
      <alignment horizontal="left" vertical="center"/>
    </xf>
    <xf numFmtId="0" fontId="72" fillId="0" borderId="0" xfId="0" applyFont="1"/>
    <xf numFmtId="3" fontId="72" fillId="0" borderId="0" xfId="0" applyNumberFormat="1" applyFont="1"/>
    <xf numFmtId="41" fontId="71" fillId="4" borderId="25" xfId="0" applyNumberFormat="1" applyFont="1" applyFill="1" applyBorder="1" applyAlignment="1">
      <alignment horizontal="left" vertical="center" wrapText="1"/>
    </xf>
    <xf numFmtId="41" fontId="71" fillId="0" borderId="25" xfId="0" applyNumberFormat="1" applyFont="1" applyBorder="1" applyAlignment="1">
      <alignment horizontal="left" vertical="center" wrapText="1"/>
    </xf>
    <xf numFmtId="3" fontId="72" fillId="0" borderId="9" xfId="4" applyNumberFormat="1" applyFont="1" applyBorder="1" applyAlignment="1">
      <alignment horizontal="right" vertical="center"/>
    </xf>
    <xf numFmtId="3" fontId="72" fillId="0" borderId="9" xfId="0" applyNumberFormat="1" applyFont="1" applyBorder="1" applyAlignment="1">
      <alignment horizontal="right" vertical="center"/>
    </xf>
    <xf numFmtId="3" fontId="72" fillId="0" borderId="3" xfId="0" applyNumberFormat="1" applyFont="1" applyBorder="1" applyAlignment="1">
      <alignment horizontal="right" vertical="center"/>
    </xf>
    <xf numFmtId="3" fontId="72" fillId="0" borderId="48" xfId="0" applyNumberFormat="1" applyFont="1" applyBorder="1" applyAlignment="1">
      <alignment horizontal="right" vertical="center"/>
    </xf>
    <xf numFmtId="3" fontId="72" fillId="0" borderId="11" xfId="0" applyNumberFormat="1" applyFont="1" applyBorder="1" applyAlignment="1">
      <alignment horizontal="right" vertical="center"/>
    </xf>
    <xf numFmtId="3" fontId="71" fillId="4" borderId="16" xfId="0" applyNumberFormat="1" applyFont="1" applyFill="1" applyBorder="1" applyAlignment="1">
      <alignment horizontal="right" vertical="center"/>
    </xf>
    <xf numFmtId="3" fontId="71" fillId="4" borderId="23" xfId="0" applyNumberFormat="1" applyFont="1" applyFill="1" applyBorder="1" applyAlignment="1">
      <alignment horizontal="right" vertical="center"/>
    </xf>
    <xf numFmtId="3" fontId="72" fillId="0" borderId="19" xfId="0" applyNumberFormat="1" applyFont="1" applyBorder="1" applyAlignment="1">
      <alignment horizontal="right" vertical="center"/>
    </xf>
    <xf numFmtId="3" fontId="72" fillId="0" borderId="9" xfId="0" applyNumberFormat="1" applyFont="1" applyBorder="1" applyAlignment="1">
      <alignment horizontal="right"/>
    </xf>
    <xf numFmtId="3" fontId="72" fillId="0" borderId="21" xfId="0" applyNumberFormat="1" applyFont="1" applyBorder="1" applyAlignment="1">
      <alignment horizontal="right"/>
    </xf>
    <xf numFmtId="3" fontId="72" fillId="0" borderId="28" xfId="0" applyNumberFormat="1" applyFont="1" applyBorder="1" applyAlignment="1">
      <alignment horizontal="right"/>
    </xf>
    <xf numFmtId="3" fontId="72" fillId="0" borderId="0" xfId="0" applyNumberFormat="1" applyFont="1" applyBorder="1" applyAlignment="1">
      <alignment horizontal="right"/>
    </xf>
    <xf numFmtId="3" fontId="71" fillId="0" borderId="16" xfId="0" applyNumberFormat="1" applyFont="1" applyBorder="1" applyAlignment="1">
      <alignment horizontal="right" vertical="center"/>
    </xf>
    <xf numFmtId="3" fontId="71" fillId="0" borderId="23" xfId="0" applyNumberFormat="1" applyFont="1" applyBorder="1" applyAlignment="1">
      <alignment horizontal="right" vertical="center"/>
    </xf>
    <xf numFmtId="0" fontId="84" fillId="0" borderId="34" xfId="0" applyFont="1" applyBorder="1" applyAlignment="1">
      <alignment horizontal="left" vertical="center" wrapText="1"/>
    </xf>
    <xf numFmtId="0" fontId="85" fillId="0" borderId="34" xfId="4" applyFont="1" applyBorder="1" applyAlignment="1">
      <alignment horizontal="left" vertical="center" wrapText="1"/>
    </xf>
    <xf numFmtId="3" fontId="85" fillId="0" borderId="34" xfId="4" applyNumberFormat="1" applyFont="1" applyBorder="1" applyAlignment="1">
      <alignment horizontal="left" vertical="center" wrapText="1"/>
    </xf>
    <xf numFmtId="0" fontId="85" fillId="0" borderId="34" xfId="0" applyFont="1" applyBorder="1" applyAlignment="1">
      <alignment horizontal="left" vertical="center" wrapText="1"/>
    </xf>
    <xf numFmtId="0" fontId="86" fillId="0" borderId="46" xfId="4" applyFont="1" applyBorder="1" applyAlignment="1">
      <alignment horizontal="center" vertical="center" wrapText="1"/>
    </xf>
    <xf numFmtId="41" fontId="86" fillId="0" borderId="17" xfId="0" applyNumberFormat="1" applyFont="1" applyBorder="1" applyAlignment="1">
      <alignment horizontal="center" vertical="center" wrapText="1"/>
    </xf>
    <xf numFmtId="0" fontId="86" fillId="0" borderId="17" xfId="4" applyFont="1" applyBorder="1" applyAlignment="1">
      <alignment horizontal="center" vertical="center" wrapText="1"/>
    </xf>
    <xf numFmtId="0" fontId="86" fillId="0" borderId="17" xfId="5" applyFont="1" applyBorder="1" applyAlignment="1">
      <alignment horizontal="center" vertical="center" wrapText="1"/>
    </xf>
    <xf numFmtId="0" fontId="86" fillId="0" borderId="17" xfId="5" applyNumberFormat="1" applyFont="1" applyBorder="1" applyAlignment="1" applyProtection="1">
      <alignment horizontal="center" vertical="top" wrapText="1"/>
      <protection locked="0"/>
    </xf>
    <xf numFmtId="0" fontId="86" fillId="3" borderId="34" xfId="4" applyFont="1" applyFill="1" applyBorder="1" applyAlignment="1">
      <alignment horizontal="left" vertical="center" wrapText="1" indent="1"/>
    </xf>
    <xf numFmtId="41" fontId="86" fillId="3" borderId="9" xfId="4" applyNumberFormat="1" applyFont="1" applyFill="1" applyBorder="1" applyAlignment="1">
      <alignment horizontal="right" vertical="center" wrapText="1" indent="1"/>
    </xf>
    <xf numFmtId="0" fontId="86" fillId="3" borderId="9" xfId="4" applyFont="1" applyFill="1" applyBorder="1" applyAlignment="1">
      <alignment horizontal="left" vertical="center" wrapText="1" indent="1"/>
    </xf>
    <xf numFmtId="0" fontId="87" fillId="0" borderId="34" xfId="0" applyFont="1" applyBorder="1" applyAlignment="1">
      <alignment horizontal="left" vertical="center" wrapText="1"/>
    </xf>
    <xf numFmtId="0" fontId="88" fillId="0" borderId="9" xfId="0" applyFont="1" applyBorder="1" applyAlignment="1">
      <alignment horizontal="left" vertical="center" wrapText="1"/>
    </xf>
    <xf numFmtId="0" fontId="88" fillId="0" borderId="30" xfId="4" applyFont="1" applyFill="1" applyBorder="1" applyAlignment="1">
      <alignment vertical="center"/>
    </xf>
    <xf numFmtId="0" fontId="86" fillId="3" borderId="34" xfId="4" applyFont="1" applyFill="1" applyBorder="1" applyAlignment="1">
      <alignment horizontal="left" vertical="center" indent="1"/>
    </xf>
    <xf numFmtId="0" fontId="86" fillId="3" borderId="9" xfId="4" applyFont="1" applyFill="1" applyBorder="1" applyAlignment="1">
      <alignment horizontal="left" vertical="center" indent="1"/>
    </xf>
    <xf numFmtId="0" fontId="89" fillId="0" borderId="34" xfId="4" applyFont="1" applyBorder="1" applyAlignment="1">
      <alignment horizontal="left" vertical="center" indent="1"/>
    </xf>
    <xf numFmtId="0" fontId="86" fillId="3" borderId="34" xfId="4" applyFont="1" applyFill="1" applyBorder="1" applyAlignment="1">
      <alignment horizontal="left" vertical="center" wrapText="1"/>
    </xf>
    <xf numFmtId="0" fontId="86" fillId="3" borderId="9" xfId="4" applyFont="1" applyFill="1" applyBorder="1" applyAlignment="1">
      <alignment horizontal="left" vertical="center" wrapText="1"/>
    </xf>
    <xf numFmtId="0" fontId="86" fillId="0" borderId="34" xfId="4" applyNumberFormat="1" applyFont="1" applyFill="1" applyBorder="1" applyAlignment="1">
      <alignment horizontal="left" vertical="center" wrapText="1"/>
    </xf>
    <xf numFmtId="0" fontId="86" fillId="0" borderId="9" xfId="4" applyNumberFormat="1" applyFont="1" applyFill="1" applyBorder="1" applyAlignment="1">
      <alignment horizontal="left" vertical="center" wrapText="1"/>
    </xf>
    <xf numFmtId="3" fontId="89" fillId="0" borderId="34" xfId="4" applyNumberFormat="1" applyFont="1" applyBorder="1" applyAlignment="1">
      <alignment horizontal="left" vertical="center" wrapText="1" indent="1"/>
    </xf>
    <xf numFmtId="0" fontId="86" fillId="4" borderId="36" xfId="4" applyFont="1" applyFill="1" applyBorder="1" applyAlignment="1">
      <alignment horizontal="left" vertical="center" indent="1"/>
    </xf>
    <xf numFmtId="0" fontId="86" fillId="4" borderId="21" xfId="4" applyFont="1" applyFill="1" applyBorder="1" applyAlignment="1">
      <alignment horizontal="left" vertical="center" indent="1"/>
    </xf>
    <xf numFmtId="0" fontId="88" fillId="0" borderId="0" xfId="4" applyFont="1" applyFill="1" applyAlignment="1">
      <alignment horizontal="left" indent="1"/>
    </xf>
    <xf numFmtId="0" fontId="90" fillId="0" borderId="18" xfId="4" applyFont="1" applyBorder="1" applyAlignment="1">
      <alignment horizontal="center" wrapText="1"/>
    </xf>
    <xf numFmtId="41" fontId="88" fillId="0" borderId="0" xfId="4" applyNumberFormat="1" applyFont="1" applyFill="1" applyAlignment="1">
      <alignment horizontal="right"/>
    </xf>
    <xf numFmtId="41" fontId="88" fillId="0" borderId="0" xfId="4" applyNumberFormat="1" applyFont="1" applyFill="1" applyBorder="1" applyAlignment="1">
      <alignment horizontal="right"/>
    </xf>
    <xf numFmtId="0" fontId="90" fillId="0" borderId="46" xfId="4" applyFont="1" applyBorder="1" applyAlignment="1">
      <alignment horizontal="center" vertical="center" wrapText="1"/>
    </xf>
    <xf numFmtId="41" fontId="90" fillId="0" borderId="17" xfId="0" applyNumberFormat="1" applyFont="1" applyBorder="1" applyAlignment="1">
      <alignment horizontal="center" vertical="center" wrapText="1"/>
    </xf>
    <xf numFmtId="0" fontId="90" fillId="0" borderId="17" xfId="4" applyFont="1" applyBorder="1" applyAlignment="1">
      <alignment horizontal="center" vertical="center" wrapText="1"/>
    </xf>
    <xf numFmtId="0" fontId="90" fillId="0" borderId="17" xfId="5" applyFont="1" applyBorder="1" applyAlignment="1">
      <alignment horizontal="center" vertical="center" wrapText="1"/>
    </xf>
    <xf numFmtId="0" fontId="90" fillId="0" borderId="18" xfId="5" applyFont="1" applyBorder="1" applyAlignment="1">
      <alignment horizontal="center" vertical="center" wrapText="1"/>
    </xf>
    <xf numFmtId="0" fontId="63" fillId="0" borderId="0" xfId="0" applyFont="1" applyAlignment="1">
      <alignment vertical="center"/>
    </xf>
    <xf numFmtId="0" fontId="70" fillId="0" borderId="0" xfId="0" applyFont="1" applyAlignment="1">
      <alignment vertical="center"/>
    </xf>
    <xf numFmtId="0" fontId="75" fillId="0" borderId="0" xfId="0" applyFont="1" applyAlignment="1">
      <alignment vertical="center"/>
    </xf>
    <xf numFmtId="49" fontId="66" fillId="9" borderId="25" xfId="0" applyNumberFormat="1" applyFont="1" applyFill="1" applyBorder="1" applyAlignment="1">
      <alignment horizontal="center" vertical="center"/>
    </xf>
    <xf numFmtId="49" fontId="66" fillId="0" borderId="1" xfId="0" applyNumberFormat="1" applyFont="1" applyBorder="1" applyAlignment="1">
      <alignment horizontal="center" vertical="center"/>
    </xf>
    <xf numFmtId="0" fontId="65" fillId="0" borderId="7" xfId="0" applyFont="1" applyBorder="1" applyAlignment="1">
      <alignment vertical="center" wrapText="1"/>
    </xf>
    <xf numFmtId="49" fontId="66" fillId="0" borderId="34" xfId="0" applyNumberFormat="1" applyFont="1" applyBorder="1" applyAlignment="1">
      <alignment horizontal="center" vertical="center"/>
    </xf>
    <xf numFmtId="0" fontId="65" fillId="0" borderId="9" xfId="0" applyFont="1" applyBorder="1" applyAlignment="1">
      <alignment vertical="center" wrapText="1"/>
    </xf>
    <xf numFmtId="0" fontId="65" fillId="0" borderId="9" xfId="0" applyFont="1" applyBorder="1" applyAlignment="1">
      <alignment vertical="center"/>
    </xf>
    <xf numFmtId="0" fontId="65" fillId="0" borderId="7" xfId="0" applyFont="1" applyBorder="1" applyAlignment="1">
      <alignment vertical="center"/>
    </xf>
    <xf numFmtId="49" fontId="68" fillId="0" borderId="34" xfId="0" applyNumberFormat="1" applyFont="1" applyBorder="1" applyAlignment="1">
      <alignment horizontal="center" vertical="center"/>
    </xf>
    <xf numFmtId="0" fontId="65" fillId="0" borderId="49" xfId="0" applyFont="1" applyBorder="1" applyAlignment="1">
      <alignment vertical="center" wrapText="1"/>
    </xf>
    <xf numFmtId="49" fontId="66" fillId="0" borderId="5" xfId="0" applyNumberFormat="1" applyFont="1" applyBorder="1" applyAlignment="1">
      <alignment horizontal="center" vertical="center"/>
    </xf>
    <xf numFmtId="41" fontId="92" fillId="9" borderId="16" xfId="0" applyNumberFormat="1" applyFont="1" applyFill="1" applyBorder="1" applyAlignment="1">
      <alignment horizontal="right" vertical="center" indent="1"/>
    </xf>
    <xf numFmtId="41" fontId="85" fillId="0" borderId="9" xfId="0" applyNumberFormat="1" applyFont="1" applyBorder="1" applyAlignment="1">
      <alignment horizontal="right" vertical="center" indent="1"/>
    </xf>
    <xf numFmtId="0" fontId="65" fillId="0" borderId="25" xfId="0" applyFont="1" applyBorder="1" applyAlignment="1">
      <alignment horizontal="center" vertical="center"/>
    </xf>
    <xf numFmtId="0" fontId="65" fillId="0" borderId="16" xfId="0" applyFont="1" applyBorder="1" applyAlignment="1">
      <alignment horizontal="center" vertical="center"/>
    </xf>
    <xf numFmtId="41" fontId="65" fillId="0" borderId="16" xfId="0" applyNumberFormat="1" applyFont="1" applyBorder="1" applyAlignment="1">
      <alignment horizontal="center" vertical="center" wrapText="1"/>
    </xf>
    <xf numFmtId="0" fontId="66" fillId="0" borderId="16" xfId="0" applyFont="1" applyBorder="1" applyAlignment="1">
      <alignment horizontal="center" vertical="center" wrapText="1"/>
    </xf>
    <xf numFmtId="0" fontId="66" fillId="0" borderId="23" xfId="0" applyFont="1" applyBorder="1" applyAlignment="1">
      <alignment horizontal="center" vertical="center" wrapText="1"/>
    </xf>
    <xf numFmtId="0" fontId="68" fillId="0" borderId="34" xfId="0" applyFont="1" applyBorder="1" applyAlignment="1">
      <alignment horizontal="center" vertical="center"/>
    </xf>
    <xf numFmtId="0" fontId="68" fillId="0" borderId="9" xfId="0" applyFont="1" applyBorder="1" applyAlignment="1">
      <alignment vertical="center"/>
    </xf>
    <xf numFmtId="0" fontId="67" fillId="0" borderId="9" xfId="0" applyFont="1" applyBorder="1" applyAlignment="1">
      <alignment horizontal="left" vertical="center"/>
    </xf>
    <xf numFmtId="49" fontId="67" fillId="0" borderId="9" xfId="0" applyNumberFormat="1" applyFont="1" applyBorder="1" applyAlignment="1">
      <alignment vertical="center"/>
    </xf>
    <xf numFmtId="0" fontId="65" fillId="0" borderId="48" xfId="0" applyFont="1" applyBorder="1" applyAlignment="1">
      <alignment vertical="center"/>
    </xf>
    <xf numFmtId="0" fontId="29" fillId="0" borderId="0" xfId="0" applyFont="1" applyAlignment="1">
      <alignment horizontal="center" vertical="center" wrapText="1"/>
    </xf>
    <xf numFmtId="0" fontId="64" fillId="0" borderId="0" xfId="0" applyFont="1" applyFill="1" applyAlignment="1">
      <alignment vertical="center"/>
    </xf>
    <xf numFmtId="3" fontId="63" fillId="0" borderId="0" xfId="0" applyNumberFormat="1" applyFont="1" applyFill="1" applyBorder="1" applyAlignment="1">
      <alignment vertical="center"/>
    </xf>
    <xf numFmtId="3" fontId="63" fillId="0" borderId="0" xfId="0" applyNumberFormat="1" applyFont="1" applyBorder="1" applyAlignment="1">
      <alignment vertical="center"/>
    </xf>
    <xf numFmtId="3" fontId="64" fillId="0" borderId="0" xfId="0" applyNumberFormat="1" applyFont="1" applyBorder="1" applyAlignment="1">
      <alignment vertical="center"/>
    </xf>
    <xf numFmtId="3" fontId="75" fillId="0" borderId="0" xfId="0" applyNumberFormat="1" applyFont="1" applyBorder="1" applyAlignment="1">
      <alignment vertical="center"/>
    </xf>
    <xf numFmtId="0" fontId="75" fillId="0" borderId="0" xfId="0" applyFont="1" applyFill="1" applyAlignment="1">
      <alignment vertical="center"/>
    </xf>
    <xf numFmtId="3" fontId="75" fillId="0" borderId="0" xfId="0" applyNumberFormat="1" applyFont="1" applyFill="1" applyBorder="1" applyAlignment="1">
      <alignment vertical="center"/>
    </xf>
    <xf numFmtId="0" fontId="67" fillId="0" borderId="7" xfId="0" applyFont="1" applyBorder="1" applyAlignment="1">
      <alignment horizontal="left" vertical="center" wrapText="1"/>
    </xf>
    <xf numFmtId="0" fontId="67" fillId="0" borderId="9" xfId="0" applyFont="1" applyBorder="1" applyAlignment="1">
      <alignment horizontal="left" vertical="center" wrapText="1"/>
    </xf>
    <xf numFmtId="0" fontId="65" fillId="0" borderId="9" xfId="0" applyFont="1" applyBorder="1" applyAlignment="1">
      <alignment horizontal="left" vertical="center" wrapText="1"/>
    </xf>
    <xf numFmtId="0" fontId="92" fillId="9" borderId="16" xfId="0" applyFont="1" applyFill="1" applyBorder="1" applyAlignment="1">
      <alignment horizontal="left" vertical="center" wrapText="1"/>
    </xf>
    <xf numFmtId="0" fontId="84" fillId="0" borderId="0" xfId="6" applyFont="1" applyAlignment="1">
      <alignment vertical="center"/>
    </xf>
    <xf numFmtId="0" fontId="84" fillId="0" borderId="0" xfId="6" applyFont="1" applyFill="1" applyAlignment="1">
      <alignment vertical="center"/>
    </xf>
    <xf numFmtId="0" fontId="93" fillId="0" borderId="0" xfId="6" applyFont="1" applyAlignment="1">
      <alignment vertical="center"/>
    </xf>
    <xf numFmtId="0" fontId="93" fillId="0" borderId="0" xfId="6" applyFont="1" applyFill="1" applyAlignment="1">
      <alignment vertical="center"/>
    </xf>
    <xf numFmtId="0" fontId="93" fillId="3" borderId="0" xfId="6" applyFont="1" applyFill="1" applyAlignment="1">
      <alignment vertical="center"/>
    </xf>
    <xf numFmtId="41" fontId="65" fillId="0" borderId="42" xfId="0" applyNumberFormat="1" applyFont="1" applyBorder="1" applyAlignment="1">
      <alignment horizontal="center" vertical="center" wrapText="1"/>
    </xf>
    <xf numFmtId="0" fontId="66" fillId="0" borderId="42" xfId="0" applyFont="1" applyBorder="1" applyAlignment="1">
      <alignment horizontal="center" vertical="center" wrapText="1"/>
    </xf>
    <xf numFmtId="0" fontId="66" fillId="0" borderId="24" xfId="0" applyFont="1" applyBorder="1" applyAlignment="1">
      <alignment horizontal="center" vertical="center" wrapText="1"/>
    </xf>
    <xf numFmtId="0" fontId="92" fillId="0" borderId="54" xfId="0" applyFont="1" applyBorder="1" applyAlignment="1">
      <alignment horizontal="center" vertical="center"/>
    </xf>
    <xf numFmtId="0" fontId="92" fillId="0" borderId="42" xfId="0" applyFont="1" applyBorder="1" applyAlignment="1">
      <alignment horizontal="center" vertical="center"/>
    </xf>
    <xf numFmtId="41" fontId="92" fillId="0" borderId="42" xfId="0" applyNumberFormat="1" applyFont="1" applyBorder="1" applyAlignment="1">
      <alignment horizontal="center" vertical="center" wrapText="1"/>
    </xf>
    <xf numFmtId="0" fontId="93" fillId="0" borderId="42" xfId="0" applyFont="1" applyBorder="1" applyAlignment="1">
      <alignment horizontal="center" vertical="center" wrapText="1"/>
    </xf>
    <xf numFmtId="0" fontId="93" fillId="0" borderId="24" xfId="0" applyFont="1" applyBorder="1" applyAlignment="1">
      <alignment horizontal="center" vertical="center" wrapText="1"/>
    </xf>
    <xf numFmtId="0" fontId="85" fillId="0" borderId="0" xfId="0" applyFont="1"/>
    <xf numFmtId="0" fontId="92" fillId="9" borderId="25" xfId="0" applyFont="1" applyFill="1" applyBorder="1" applyAlignment="1">
      <alignment horizontal="center" vertical="center"/>
    </xf>
    <xf numFmtId="0" fontId="85" fillId="9" borderId="23" xfId="0" applyFont="1" applyFill="1" applyBorder="1"/>
    <xf numFmtId="0" fontId="85" fillId="0" borderId="1" xfId="0" applyFont="1" applyBorder="1" applyAlignment="1">
      <alignment horizontal="center" vertical="center"/>
    </xf>
    <xf numFmtId="0" fontId="85" fillId="0" borderId="7" xfId="0" applyFont="1" applyBorder="1" applyAlignment="1">
      <alignment horizontal="left" vertical="center" indent="1"/>
    </xf>
    <xf numFmtId="41" fontId="85" fillId="0" borderId="7" xfId="0" applyNumberFormat="1" applyFont="1" applyBorder="1" applyAlignment="1">
      <alignment horizontal="right" vertical="center" indent="1"/>
    </xf>
    <xf numFmtId="0" fontId="85" fillId="0" borderId="7" xfId="0" applyFont="1" applyBorder="1"/>
    <xf numFmtId="0" fontId="85" fillId="0" borderId="8" xfId="0" applyFont="1" applyBorder="1"/>
    <xf numFmtId="0" fontId="85" fillId="0" borderId="34" xfId="0" applyFont="1" applyBorder="1" applyAlignment="1">
      <alignment horizontal="center" vertical="center"/>
    </xf>
    <xf numFmtId="0" fontId="85" fillId="0" borderId="9" xfId="0" applyFont="1" applyBorder="1" applyAlignment="1">
      <alignment horizontal="left" vertical="center" indent="1"/>
    </xf>
    <xf numFmtId="0" fontId="85" fillId="0" borderId="3" xfId="0" applyFont="1" applyBorder="1"/>
    <xf numFmtId="49" fontId="95" fillId="0" borderId="5" xfId="0" applyNumberFormat="1" applyFont="1" applyBorder="1" applyAlignment="1">
      <alignment horizontal="center" vertical="center"/>
    </xf>
    <xf numFmtId="0" fontId="95" fillId="0" borderId="19" xfId="0" applyFont="1" applyBorder="1" applyAlignment="1">
      <alignment horizontal="left" vertical="center" indent="3"/>
    </xf>
    <xf numFmtId="41" fontId="95" fillId="25" borderId="19" xfId="0" applyNumberFormat="1" applyFont="1" applyFill="1" applyBorder="1" applyAlignment="1">
      <alignment horizontal="right" vertical="center" indent="1"/>
    </xf>
    <xf numFmtId="0" fontId="95" fillId="0" borderId="19" xfId="0" applyFont="1" applyBorder="1"/>
    <xf numFmtId="41" fontId="95" fillId="25" borderId="10" xfId="0" applyNumberFormat="1" applyFont="1" applyFill="1" applyBorder="1" applyAlignment="1">
      <alignment horizontal="right" vertical="center" indent="1"/>
    </xf>
    <xf numFmtId="0" fontId="95" fillId="0" borderId="47" xfId="0" applyFont="1" applyBorder="1"/>
    <xf numFmtId="0" fontId="95" fillId="0" borderId="0" xfId="0" applyFont="1"/>
    <xf numFmtId="49" fontId="95" fillId="0" borderId="89" xfId="0" applyNumberFormat="1" applyFont="1" applyBorder="1" applyAlignment="1">
      <alignment horizontal="center" vertical="center"/>
    </xf>
    <xf numFmtId="0" fontId="95" fillId="0" borderId="12" xfId="0" applyFont="1" applyBorder="1" applyAlignment="1">
      <alignment horizontal="left" vertical="center" indent="3"/>
    </xf>
    <xf numFmtId="41" fontId="95" fillId="25" borderId="12" xfId="0" applyNumberFormat="1" applyFont="1" applyFill="1" applyBorder="1" applyAlignment="1">
      <alignment horizontal="right" vertical="center" indent="1"/>
    </xf>
    <xf numFmtId="0" fontId="95" fillId="0" borderId="88" xfId="0" applyFont="1" applyBorder="1"/>
    <xf numFmtId="41" fontId="95" fillId="25" borderId="48" xfId="0" applyNumberFormat="1" applyFont="1" applyFill="1" applyBorder="1" applyAlignment="1">
      <alignment horizontal="right" vertical="center" indent="1"/>
    </xf>
    <xf numFmtId="0" fontId="95" fillId="0" borderId="87" xfId="0" applyFont="1" applyBorder="1"/>
    <xf numFmtId="49" fontId="95" fillId="0" borderId="90" xfId="0" applyNumberFormat="1" applyFont="1" applyBorder="1" applyAlignment="1">
      <alignment horizontal="center" vertical="center"/>
    </xf>
    <xf numFmtId="49" fontId="95" fillId="0" borderId="1" xfId="0" applyNumberFormat="1" applyFont="1" applyBorder="1" applyAlignment="1">
      <alignment horizontal="center" vertical="center"/>
    </xf>
    <xf numFmtId="0" fontId="95" fillId="0" borderId="14" xfId="0" applyFont="1" applyBorder="1" applyAlignment="1">
      <alignment horizontal="left" vertical="center" indent="3"/>
    </xf>
    <xf numFmtId="41" fontId="95" fillId="25" borderId="7" xfId="0" applyNumberFormat="1" applyFont="1" applyFill="1" applyBorder="1" applyAlignment="1">
      <alignment horizontal="right" vertical="center" indent="1"/>
    </xf>
    <xf numFmtId="0" fontId="95" fillId="0" borderId="14" xfId="0" applyFont="1" applyBorder="1"/>
    <xf numFmtId="0" fontId="95" fillId="0" borderId="44" xfId="0" applyFont="1" applyBorder="1"/>
    <xf numFmtId="0" fontId="85" fillId="0" borderId="9" xfId="0" applyFont="1" applyBorder="1"/>
    <xf numFmtId="0" fontId="85" fillId="0" borderId="9" xfId="0" applyFont="1" applyBorder="1" applyAlignment="1">
      <alignment horizontal="left" vertical="center" wrapText="1" indent="1"/>
    </xf>
    <xf numFmtId="0" fontId="95" fillId="0" borderId="9" xfId="0" applyFont="1" applyBorder="1"/>
    <xf numFmtId="0" fontId="95" fillId="0" borderId="3" xfId="0" applyFont="1" applyBorder="1"/>
    <xf numFmtId="0" fontId="85" fillId="0" borderId="2" xfId="0" applyFont="1" applyFill="1" applyBorder="1" applyAlignment="1" applyProtection="1">
      <alignment horizontal="left" vertical="center" wrapText="1" indent="1"/>
      <protection locked="0"/>
    </xf>
    <xf numFmtId="41" fontId="85" fillId="0" borderId="19" xfId="0" applyNumberFormat="1" applyFont="1" applyBorder="1" applyAlignment="1">
      <alignment horizontal="right" vertical="center" indent="1"/>
    </xf>
    <xf numFmtId="0" fontId="85" fillId="0" borderId="19" xfId="0" applyFont="1" applyBorder="1"/>
    <xf numFmtId="0" fontId="85" fillId="0" borderId="47" xfId="0" applyFont="1" applyBorder="1"/>
    <xf numFmtId="0" fontId="92" fillId="9" borderId="16" xfId="0" applyFont="1" applyFill="1" applyBorder="1" applyAlignment="1">
      <alignment vertical="center" wrapText="1"/>
    </xf>
    <xf numFmtId="0" fontId="92" fillId="0" borderId="0" xfId="0" applyFont="1"/>
    <xf numFmtId="0" fontId="85" fillId="0" borderId="9" xfId="0" applyFont="1" applyFill="1" applyBorder="1" applyAlignment="1">
      <alignment horizontal="left" vertical="center" wrapText="1" indent="1"/>
    </xf>
    <xf numFmtId="0" fontId="85" fillId="0" borderId="19" xfId="0" applyFont="1" applyFill="1" applyBorder="1" applyAlignment="1">
      <alignment horizontal="left" vertical="center" wrapText="1" indent="1"/>
    </xf>
    <xf numFmtId="41" fontId="85" fillId="25" borderId="19" xfId="0" applyNumberFormat="1" applyFont="1" applyFill="1" applyBorder="1" applyAlignment="1">
      <alignment horizontal="right" vertical="center" indent="1"/>
    </xf>
    <xf numFmtId="0" fontId="92" fillId="9" borderId="15" xfId="0" applyFont="1" applyFill="1" applyBorder="1" applyAlignment="1">
      <alignment vertical="center"/>
    </xf>
    <xf numFmtId="0" fontId="98" fillId="9" borderId="6" xfId="50" applyFont="1" applyFill="1" applyBorder="1" applyAlignment="1">
      <alignment vertical="center"/>
    </xf>
    <xf numFmtId="41" fontId="98" fillId="9" borderId="16" xfId="50" applyNumberFormat="1" applyFont="1" applyFill="1" applyBorder="1" applyAlignment="1">
      <alignment horizontal="right" vertical="center" indent="1"/>
    </xf>
    <xf numFmtId="0" fontId="99" fillId="9" borderId="23" xfId="50" applyFont="1" applyFill="1" applyBorder="1"/>
    <xf numFmtId="3" fontId="67" fillId="0" borderId="8" xfId="0" applyNumberFormat="1" applyFont="1" applyBorder="1" applyAlignment="1">
      <alignment horizontal="right" vertical="center" indent="1"/>
    </xf>
    <xf numFmtId="0" fontId="67" fillId="0" borderId="0" xfId="0" applyFont="1" applyBorder="1" applyAlignment="1">
      <alignment vertical="center"/>
    </xf>
    <xf numFmtId="0" fontId="96" fillId="0" borderId="0" xfId="0" applyFont="1" applyBorder="1" applyAlignment="1">
      <alignment vertical="center"/>
    </xf>
    <xf numFmtId="0" fontId="67" fillId="0" borderId="74" xfId="0" applyFont="1" applyBorder="1" applyAlignment="1">
      <alignment vertical="center"/>
    </xf>
    <xf numFmtId="171" fontId="6" fillId="0" borderId="0" xfId="0" applyNumberFormat="1" applyFont="1" applyAlignment="1">
      <alignment horizontal="center"/>
    </xf>
    <xf numFmtId="41" fontId="6" fillId="0" borderId="0" xfId="0" applyNumberFormat="1" applyFont="1"/>
    <xf numFmtId="3" fontId="0" fillId="0" borderId="0" xfId="0" applyNumberFormat="1"/>
    <xf numFmtId="41" fontId="0" fillId="0" borderId="0" xfId="0" applyNumberFormat="1"/>
    <xf numFmtId="41" fontId="6" fillId="0" borderId="0" xfId="0" applyNumberFormat="1" applyFont="1" applyAlignment="1">
      <alignment horizontal="right"/>
    </xf>
    <xf numFmtId="3" fontId="51" fillId="0" borderId="0" xfId="4" applyNumberFormat="1" applyFont="1" applyBorder="1" applyAlignment="1">
      <alignment horizontal="center" vertical="center"/>
    </xf>
    <xf numFmtId="3" fontId="29" fillId="9" borderId="76" xfId="0" applyNumberFormat="1" applyFont="1" applyFill="1" applyBorder="1" applyAlignment="1">
      <alignment horizontal="right" vertical="center" indent="1"/>
    </xf>
    <xf numFmtId="0" fontId="29" fillId="0" borderId="16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100" fillId="0" borderId="17" xfId="5" applyFont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right" vertical="center"/>
    </xf>
    <xf numFmtId="3" fontId="18" fillId="0" borderId="0" xfId="0" applyNumberFormat="1" applyFont="1" applyBorder="1" applyAlignment="1">
      <alignment horizontal="right" vertical="center"/>
    </xf>
    <xf numFmtId="3" fontId="32" fillId="0" borderId="0" xfId="0" applyNumberFormat="1" applyFont="1" applyFill="1" applyBorder="1" applyAlignment="1">
      <alignment horizontal="right" vertical="center"/>
    </xf>
    <xf numFmtId="3" fontId="32" fillId="0" borderId="0" xfId="0" applyNumberFormat="1" applyFont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3" fontId="19" fillId="0" borderId="0" xfId="0" applyNumberFormat="1" applyFont="1" applyAlignment="1">
      <alignment vertical="center"/>
    </xf>
    <xf numFmtId="41" fontId="18" fillId="0" borderId="75" xfId="0" applyNumberFormat="1" applyFont="1" applyBorder="1" applyAlignment="1">
      <alignment horizontal="center" vertical="center" wrapText="1"/>
    </xf>
    <xf numFmtId="41" fontId="86" fillId="3" borderId="9" xfId="4" applyNumberFormat="1" applyFont="1" applyFill="1" applyBorder="1" applyAlignment="1">
      <alignment horizontal="right" vertical="center" wrapText="1"/>
    </xf>
    <xf numFmtId="41" fontId="88" fillId="0" borderId="0" xfId="4" applyNumberFormat="1" applyFont="1" applyAlignment="1">
      <alignment vertical="center"/>
    </xf>
    <xf numFmtId="0" fontId="89" fillId="0" borderId="0" xfId="4" applyFont="1" applyFill="1" applyBorder="1" applyAlignment="1">
      <alignment vertical="center"/>
    </xf>
    <xf numFmtId="0" fontId="89" fillId="0" borderId="9" xfId="4" applyFont="1" applyBorder="1" applyAlignment="1">
      <alignment horizontal="left" vertical="center" indent="1"/>
    </xf>
    <xf numFmtId="0" fontId="89" fillId="0" borderId="9" xfId="4" applyFont="1" applyBorder="1" applyAlignment="1">
      <alignment horizontal="left" vertical="center" wrapText="1" indent="1"/>
    </xf>
    <xf numFmtId="0" fontId="86" fillId="3" borderId="15" xfId="4" applyFont="1" applyFill="1" applyBorder="1" applyAlignment="1">
      <alignment horizontal="left" vertical="center" wrapText="1"/>
    </xf>
    <xf numFmtId="41" fontId="88" fillId="0" borderId="0" xfId="4" applyNumberFormat="1" applyFont="1" applyFill="1" applyAlignment="1">
      <alignment horizontal="right" indent="1"/>
    </xf>
    <xf numFmtId="41" fontId="65" fillId="0" borderId="56" xfId="0" applyNumberFormat="1" applyFont="1" applyBorder="1" applyAlignment="1">
      <alignment horizontal="center" vertical="center" wrapText="1"/>
    </xf>
    <xf numFmtId="49" fontId="65" fillId="0" borderId="25" xfId="0" applyNumberFormat="1" applyFont="1" applyBorder="1" applyAlignment="1">
      <alignment horizontal="center" vertical="center"/>
    </xf>
    <xf numFmtId="0" fontId="65" fillId="0" borderId="16" xfId="0" applyFont="1" applyBorder="1" applyAlignment="1">
      <alignment vertical="center"/>
    </xf>
    <xf numFmtId="41" fontId="65" fillId="0" borderId="76" xfId="0" applyNumberFormat="1" applyFont="1" applyBorder="1" applyAlignment="1">
      <alignment horizontal="center" vertical="center" wrapText="1"/>
    </xf>
    <xf numFmtId="41" fontId="66" fillId="0" borderId="16" xfId="0" applyNumberFormat="1" applyFont="1" applyBorder="1" applyAlignment="1">
      <alignment horizontal="center" vertical="center" wrapText="1"/>
    </xf>
    <xf numFmtId="41" fontId="66" fillId="0" borderId="23" xfId="0" applyNumberFormat="1" applyFont="1" applyBorder="1" applyAlignment="1">
      <alignment horizontal="center" vertical="center" wrapText="1"/>
    </xf>
    <xf numFmtId="41" fontId="65" fillId="9" borderId="16" xfId="0" applyNumberFormat="1" applyFont="1" applyFill="1" applyBorder="1" applyAlignment="1">
      <alignment horizontal="right" vertical="center"/>
    </xf>
    <xf numFmtId="49" fontId="82" fillId="9" borderId="25" xfId="0" applyNumberFormat="1" applyFont="1" applyFill="1" applyBorder="1" applyAlignment="1">
      <alignment horizontal="center" vertical="center"/>
    </xf>
    <xf numFmtId="41" fontId="71" fillId="0" borderId="76" xfId="0" applyNumberFormat="1" applyFont="1" applyBorder="1" applyAlignment="1">
      <alignment horizontal="center" vertical="center" wrapText="1"/>
    </xf>
    <xf numFmtId="0" fontId="105" fillId="0" borderId="0" xfId="0" applyFont="1"/>
    <xf numFmtId="0" fontId="85" fillId="0" borderId="0" xfId="0" applyFont="1" applyAlignment="1">
      <alignment horizontal="center" vertical="center"/>
    </xf>
    <xf numFmtId="49" fontId="93" fillId="9" borderId="25" xfId="0" applyNumberFormat="1" applyFont="1" applyFill="1" applyBorder="1" applyAlignment="1">
      <alignment horizontal="center" vertical="center"/>
    </xf>
    <xf numFmtId="0" fontId="92" fillId="0" borderId="0" xfId="0" applyFont="1" applyAlignment="1">
      <alignment horizontal="center" vertical="center"/>
    </xf>
    <xf numFmtId="49" fontId="93" fillId="0" borderId="1" xfId="0" applyNumberFormat="1" applyFont="1" applyBorder="1" applyAlignment="1">
      <alignment horizontal="center" vertical="center"/>
    </xf>
    <xf numFmtId="0" fontId="92" fillId="0" borderId="7" xfId="0" applyFont="1" applyBorder="1" applyAlignment="1">
      <alignment vertical="center" wrapText="1"/>
    </xf>
    <xf numFmtId="41" fontId="93" fillId="0" borderId="0" xfId="0" applyNumberFormat="1" applyFont="1" applyAlignment="1">
      <alignment vertical="center"/>
    </xf>
    <xf numFmtId="0" fontId="93" fillId="0" borderId="0" xfId="0" applyFont="1" applyAlignment="1">
      <alignment vertical="center"/>
    </xf>
    <xf numFmtId="49" fontId="93" fillId="0" borderId="34" xfId="0" applyNumberFormat="1" applyFont="1" applyBorder="1" applyAlignment="1">
      <alignment horizontal="center" vertical="center"/>
    </xf>
    <xf numFmtId="0" fontId="92" fillId="0" borderId="9" xfId="0" applyFont="1" applyBorder="1" applyAlignment="1">
      <alignment vertical="center" wrapText="1"/>
    </xf>
    <xf numFmtId="49" fontId="84" fillId="0" borderId="34" xfId="0" applyNumberFormat="1" applyFont="1" applyBorder="1" applyAlignment="1">
      <alignment horizontal="center" vertical="center"/>
    </xf>
    <xf numFmtId="41" fontId="84" fillId="0" borderId="0" xfId="0" applyNumberFormat="1" applyFont="1" applyAlignment="1">
      <alignment vertical="center"/>
    </xf>
    <xf numFmtId="0" fontId="84" fillId="0" borderId="0" xfId="0" applyFont="1" applyAlignment="1">
      <alignment vertical="center"/>
    </xf>
    <xf numFmtId="0" fontId="84" fillId="0" borderId="0" xfId="0" applyFont="1" applyAlignment="1">
      <alignment horizontal="center" vertical="center"/>
    </xf>
    <xf numFmtId="0" fontId="106" fillId="0" borderId="9" xfId="0" applyFont="1" applyBorder="1" applyAlignment="1">
      <alignment horizontal="left" vertical="center" wrapText="1" indent="1"/>
    </xf>
    <xf numFmtId="0" fontId="92" fillId="0" borderId="9" xfId="0" applyFont="1" applyFill="1" applyBorder="1" applyAlignment="1">
      <alignment vertical="center" wrapText="1"/>
    </xf>
    <xf numFmtId="0" fontId="92" fillId="0" borderId="9" xfId="0" applyFont="1" applyBorder="1" applyAlignment="1">
      <alignment vertical="center"/>
    </xf>
    <xf numFmtId="49" fontId="85" fillId="0" borderId="9" xfId="0" applyNumberFormat="1" applyFont="1" applyBorder="1" applyAlignment="1">
      <alignment horizontal="left" vertical="center" wrapText="1" indent="1"/>
    </xf>
    <xf numFmtId="49" fontId="85" fillId="0" borderId="9" xfId="0" applyNumberFormat="1" applyFont="1" applyBorder="1" applyAlignment="1">
      <alignment horizontal="left" vertical="center" indent="1"/>
    </xf>
    <xf numFmtId="49" fontId="84" fillId="0" borderId="5" xfId="0" applyNumberFormat="1" applyFont="1" applyBorder="1" applyAlignment="1">
      <alignment horizontal="center" vertical="center"/>
    </xf>
    <xf numFmtId="0" fontId="92" fillId="0" borderId="7" xfId="0" applyFont="1" applyBorder="1" applyAlignment="1">
      <alignment vertical="center"/>
    </xf>
    <xf numFmtId="0" fontId="85" fillId="0" borderId="9" xfId="0" applyNumberFormat="1" applyFont="1" applyBorder="1" applyAlignment="1">
      <alignment horizontal="left" vertical="center" wrapText="1" indent="1"/>
    </xf>
    <xf numFmtId="0" fontId="92" fillId="9" borderId="16" xfId="0" applyFont="1" applyFill="1" applyBorder="1" applyAlignment="1">
      <alignment vertical="center"/>
    </xf>
    <xf numFmtId="49" fontId="93" fillId="0" borderId="46" xfId="0" applyNumberFormat="1" applyFont="1" applyBorder="1" applyAlignment="1">
      <alignment horizontal="center" vertical="center"/>
    </xf>
    <xf numFmtId="0" fontId="92" fillId="0" borderId="17" xfId="0" applyFont="1" applyBorder="1" applyAlignment="1">
      <alignment vertical="center"/>
    </xf>
    <xf numFmtId="49" fontId="94" fillId="0" borderId="34" xfId="0" applyNumberFormat="1" applyFont="1" applyBorder="1" applyAlignment="1">
      <alignment horizontal="center" vertical="center"/>
    </xf>
    <xf numFmtId="0" fontId="95" fillId="0" borderId="9" xfId="0" applyFont="1" applyBorder="1" applyAlignment="1">
      <alignment horizontal="left" vertical="center" indent="1"/>
    </xf>
    <xf numFmtId="41" fontId="97" fillId="0" borderId="0" xfId="0" applyNumberFormat="1" applyFont="1" applyAlignment="1">
      <alignment vertical="center"/>
    </xf>
    <xf numFmtId="0" fontId="97" fillId="0" borderId="0" xfId="0" applyFont="1" applyAlignment="1">
      <alignment vertical="center"/>
    </xf>
    <xf numFmtId="0" fontId="92" fillId="0" borderId="9" xfId="0" applyFont="1" applyBorder="1" applyAlignment="1">
      <alignment horizontal="left" vertical="center"/>
    </xf>
    <xf numFmtId="49" fontId="84" fillId="0" borderId="36" xfId="0" applyNumberFormat="1" applyFont="1" applyBorder="1" applyAlignment="1">
      <alignment horizontal="center" vertical="center"/>
    </xf>
    <xf numFmtId="49" fontId="92" fillId="9" borderId="25" xfId="0" applyNumberFormat="1" applyFont="1" applyFill="1" applyBorder="1" applyAlignment="1">
      <alignment horizontal="center" vertical="center"/>
    </xf>
    <xf numFmtId="0" fontId="94" fillId="0" borderId="0" xfId="0" applyFont="1" applyAlignment="1">
      <alignment vertical="center"/>
    </xf>
    <xf numFmtId="0" fontId="92" fillId="0" borderId="49" xfId="0" applyFont="1" applyBorder="1" applyAlignment="1">
      <alignment vertical="center" wrapText="1"/>
    </xf>
    <xf numFmtId="49" fontId="85" fillId="0" borderId="19" xfId="0" applyNumberFormat="1" applyFont="1" applyBorder="1" applyAlignment="1">
      <alignment horizontal="left" vertical="center" wrapText="1" indent="1"/>
    </xf>
    <xf numFmtId="49" fontId="92" fillId="0" borderId="7" xfId="0" applyNumberFormat="1" applyFont="1" applyBorder="1" applyAlignment="1">
      <alignment vertical="center" wrapText="1"/>
    </xf>
    <xf numFmtId="49" fontId="85" fillId="0" borderId="9" xfId="0" applyNumberFormat="1" applyFont="1" applyFill="1" applyBorder="1" applyAlignment="1">
      <alignment horizontal="left" vertical="center" indent="1"/>
    </xf>
    <xf numFmtId="49" fontId="92" fillId="0" borderId="9" xfId="0" applyNumberFormat="1" applyFont="1" applyBorder="1" applyAlignment="1">
      <alignment vertical="center"/>
    </xf>
    <xf numFmtId="49" fontId="85" fillId="0" borderId="19" xfId="0" applyNumberFormat="1" applyFont="1" applyBorder="1" applyAlignment="1">
      <alignment horizontal="left" vertical="center" indent="1"/>
    </xf>
    <xf numFmtId="0" fontId="84" fillId="0" borderId="0" xfId="0" applyFont="1" applyBorder="1" applyAlignment="1">
      <alignment vertical="center"/>
    </xf>
    <xf numFmtId="49" fontId="93" fillId="9" borderId="15" xfId="0" applyNumberFormat="1" applyFont="1" applyFill="1" applyBorder="1" applyAlignment="1">
      <alignment horizontal="left" vertical="center"/>
    </xf>
    <xf numFmtId="0" fontId="92" fillId="9" borderId="6" xfId="0" applyFont="1" applyFill="1" applyBorder="1" applyAlignment="1">
      <alignment horizontal="left" vertical="center"/>
    </xf>
    <xf numFmtId="0" fontId="93" fillId="0" borderId="0" xfId="0" applyFont="1" applyFill="1" applyBorder="1" applyAlignment="1">
      <alignment vertical="center"/>
    </xf>
    <xf numFmtId="0" fontId="107" fillId="0" borderId="0" xfId="0" applyFont="1" applyAlignment="1">
      <alignment vertical="center"/>
    </xf>
    <xf numFmtId="0" fontId="107" fillId="0" borderId="0" xfId="0" applyFont="1"/>
    <xf numFmtId="41" fontId="107" fillId="0" borderId="0" xfId="0" applyNumberFormat="1" applyFont="1" applyAlignment="1">
      <alignment vertical="center"/>
    </xf>
    <xf numFmtId="0" fontId="108" fillId="0" borderId="0" xfId="0" applyFont="1" applyAlignment="1">
      <alignment vertical="center"/>
    </xf>
    <xf numFmtId="0" fontId="109" fillId="0" borderId="0" xfId="0" applyFont="1" applyAlignment="1">
      <alignment vertical="center"/>
    </xf>
    <xf numFmtId="49" fontId="107" fillId="0" borderId="0" xfId="0" applyNumberFormat="1" applyFont="1" applyAlignment="1">
      <alignment horizontal="center" vertical="center"/>
    </xf>
    <xf numFmtId="0" fontId="85" fillId="0" borderId="0" xfId="0" applyFont="1" applyAlignment="1">
      <alignment vertical="center"/>
    </xf>
    <xf numFmtId="41" fontId="105" fillId="0" borderId="0" xfId="0" applyNumberFormat="1" applyFont="1" applyAlignment="1">
      <alignment horizontal="center"/>
    </xf>
    <xf numFmtId="41" fontId="107" fillId="0" borderId="0" xfId="0" applyNumberFormat="1" applyFont="1"/>
    <xf numFmtId="41" fontId="107" fillId="0" borderId="0" xfId="0" applyNumberFormat="1" applyFont="1" applyAlignment="1">
      <alignment horizontal="center"/>
    </xf>
    <xf numFmtId="41" fontId="105" fillId="0" borderId="0" xfId="0" applyNumberFormat="1" applyFont="1"/>
    <xf numFmtId="49" fontId="105" fillId="0" borderId="0" xfId="0" applyNumberFormat="1" applyFont="1" applyAlignment="1">
      <alignment horizontal="center" vertical="center"/>
    </xf>
    <xf numFmtId="0" fontId="65" fillId="0" borderId="17" xfId="4" applyFont="1" applyBorder="1" applyAlignment="1">
      <alignment horizontal="center" vertical="center" wrapText="1"/>
    </xf>
    <xf numFmtId="0" fontId="65" fillId="0" borderId="16" xfId="0" applyFont="1" applyBorder="1" applyAlignment="1">
      <alignment horizontal="center" vertical="center" wrapText="1"/>
    </xf>
    <xf numFmtId="49" fontId="67" fillId="0" borderId="7" xfId="0" applyNumberFormat="1" applyFont="1" applyBorder="1" applyAlignment="1">
      <alignment vertical="center"/>
    </xf>
    <xf numFmtId="0" fontId="65" fillId="0" borderId="29" xfId="0" applyFont="1" applyBorder="1" applyAlignment="1">
      <alignment horizontal="center" vertical="center" wrapText="1"/>
    </xf>
    <xf numFmtId="0" fontId="65" fillId="0" borderId="24" xfId="0" applyFont="1" applyBorder="1" applyAlignment="1">
      <alignment horizontal="center" vertical="center" wrapText="1"/>
    </xf>
    <xf numFmtId="3" fontId="65" fillId="0" borderId="0" xfId="0" applyNumberFormat="1" applyFont="1" applyAlignment="1">
      <alignment horizontal="center" vertical="center" wrapText="1"/>
    </xf>
    <xf numFmtId="3" fontId="68" fillId="0" borderId="2" xfId="0" applyNumberFormat="1" applyFont="1" applyFill="1" applyBorder="1" applyAlignment="1">
      <alignment vertical="center"/>
    </xf>
    <xf numFmtId="3" fontId="68" fillId="0" borderId="3" xfId="0" applyNumberFormat="1" applyFont="1" applyFill="1" applyBorder="1" applyAlignment="1">
      <alignment vertical="center"/>
    </xf>
    <xf numFmtId="3" fontId="68" fillId="0" borderId="0" xfId="0" applyNumberFormat="1" applyFont="1" applyFill="1" applyAlignment="1">
      <alignment vertical="center"/>
    </xf>
    <xf numFmtId="3" fontId="67" fillId="0" borderId="73" xfId="0" applyNumberFormat="1" applyFont="1" applyBorder="1" applyAlignment="1">
      <alignment horizontal="right" vertical="center" indent="1"/>
    </xf>
    <xf numFmtId="3" fontId="68" fillId="0" borderId="0" xfId="0" applyNumberFormat="1" applyFont="1" applyAlignment="1">
      <alignment vertical="center"/>
    </xf>
    <xf numFmtId="0" fontId="67" fillId="0" borderId="19" xfId="0" applyFont="1" applyBorder="1" applyAlignment="1">
      <alignment horizontal="left" vertical="center" wrapText="1"/>
    </xf>
    <xf numFmtId="0" fontId="65" fillId="0" borderId="16" xfId="0" applyFont="1" applyBorder="1" applyAlignment="1">
      <alignment horizontal="left" vertical="center" wrapText="1"/>
    </xf>
    <xf numFmtId="49" fontId="66" fillId="9" borderId="52" xfId="0" applyNumberFormat="1" applyFont="1" applyFill="1" applyBorder="1" applyAlignment="1">
      <alignment horizontal="center" vertical="center"/>
    </xf>
    <xf numFmtId="3" fontId="68" fillId="0" borderId="26" xfId="0" applyNumberFormat="1" applyFont="1" applyFill="1" applyBorder="1" applyAlignment="1">
      <alignment vertical="center"/>
    </xf>
    <xf numFmtId="0" fontId="66" fillId="9" borderId="53" xfId="0" applyFont="1" applyFill="1" applyBorder="1" applyAlignment="1">
      <alignment horizontal="left" vertical="center" wrapText="1" indent="1"/>
    </xf>
    <xf numFmtId="3" fontId="91" fillId="0" borderId="2" xfId="0" applyNumberFormat="1" applyFont="1" applyBorder="1" applyAlignment="1">
      <alignment vertical="center"/>
    </xf>
    <xf numFmtId="3" fontId="91" fillId="0" borderId="3" xfId="0" applyNumberFormat="1" applyFont="1" applyBorder="1" applyAlignment="1">
      <alignment vertical="center"/>
    </xf>
    <xf numFmtId="3" fontId="82" fillId="0" borderId="2" xfId="0" applyNumberFormat="1" applyFont="1" applyFill="1" applyBorder="1" applyAlignment="1">
      <alignment vertical="center"/>
    </xf>
    <xf numFmtId="3" fontId="82" fillId="0" borderId="3" xfId="0" applyNumberFormat="1" applyFont="1" applyFill="1" applyBorder="1" applyAlignment="1">
      <alignment vertical="center"/>
    </xf>
    <xf numFmtId="0" fontId="82" fillId="9" borderId="16" xfId="0" applyFont="1" applyFill="1" applyBorder="1" applyAlignment="1">
      <alignment vertical="center" wrapText="1"/>
    </xf>
    <xf numFmtId="0" fontId="66" fillId="9" borderId="25" xfId="0" applyFont="1" applyFill="1" applyBorder="1" applyAlignment="1">
      <alignment horizontal="center" vertical="center"/>
    </xf>
    <xf numFmtId="0" fontId="82" fillId="9" borderId="16" xfId="0" applyFont="1" applyFill="1" applyBorder="1" applyAlignment="1">
      <alignment horizontal="left" vertical="center" wrapText="1"/>
    </xf>
    <xf numFmtId="3" fontId="66" fillId="0" borderId="2" xfId="0" applyNumberFormat="1" applyFont="1" applyFill="1" applyBorder="1" applyAlignment="1">
      <alignment vertical="center"/>
    </xf>
    <xf numFmtId="3" fontId="66" fillId="0" borderId="26" xfId="0" applyNumberFormat="1" applyFont="1" applyFill="1" applyBorder="1" applyAlignment="1">
      <alignment vertical="center"/>
    </xf>
    <xf numFmtId="3" fontId="66" fillId="0" borderId="27" xfId="0" applyNumberFormat="1" applyFont="1" applyFill="1" applyBorder="1" applyAlignment="1">
      <alignment horizontal="right" vertical="center"/>
    </xf>
    <xf numFmtId="3" fontId="66" fillId="0" borderId="28" xfId="0" applyNumberFormat="1" applyFont="1" applyFill="1" applyBorder="1" applyAlignment="1">
      <alignment vertical="center"/>
    </xf>
    <xf numFmtId="0" fontId="66" fillId="0" borderId="54" xfId="0" applyFont="1" applyBorder="1" applyAlignment="1">
      <alignment vertical="center"/>
    </xf>
    <xf numFmtId="0" fontId="66" fillId="0" borderId="5" xfId="0" applyFont="1" applyBorder="1" applyAlignment="1">
      <alignment vertical="center"/>
    </xf>
    <xf numFmtId="0" fontId="66" fillId="0" borderId="34" xfId="0" applyFont="1" applyBorder="1" applyAlignment="1">
      <alignment vertical="center"/>
    </xf>
    <xf numFmtId="0" fontId="66" fillId="0" borderId="4" xfId="0" applyFont="1" applyBorder="1" applyAlignment="1">
      <alignment vertical="center"/>
    </xf>
    <xf numFmtId="0" fontId="15" fillId="0" borderId="17" xfId="0" applyFont="1" applyBorder="1" applyAlignment="1">
      <alignment horizontal="center" vertical="center" wrapText="1"/>
    </xf>
    <xf numFmtId="0" fontId="71" fillId="0" borderId="25" xfId="6" applyFont="1" applyBorder="1" applyAlignment="1">
      <alignment horizontal="center" vertical="center"/>
    </xf>
    <xf numFmtId="0" fontId="71" fillId="0" borderId="16" xfId="6" applyFont="1" applyBorder="1" applyAlignment="1">
      <alignment horizontal="center" vertical="center" wrapText="1"/>
    </xf>
    <xf numFmtId="0" fontId="71" fillId="0" borderId="17" xfId="0" applyFont="1" applyBorder="1" applyAlignment="1">
      <alignment horizontal="center" vertical="center" wrapText="1"/>
    </xf>
    <xf numFmtId="0" fontId="104" fillId="0" borderId="16" xfId="0" applyFont="1" applyBorder="1" applyAlignment="1">
      <alignment horizontal="center" vertical="center" wrapText="1"/>
    </xf>
    <xf numFmtId="0" fontId="104" fillId="0" borderId="23" xfId="0" applyFont="1" applyBorder="1" applyAlignment="1">
      <alignment horizontal="center" vertical="center" wrapText="1"/>
    </xf>
    <xf numFmtId="0" fontId="71" fillId="0" borderId="0" xfId="6" applyFont="1" applyBorder="1" applyAlignment="1">
      <alignment horizontal="center" vertical="center"/>
    </xf>
    <xf numFmtId="3" fontId="111" fillId="0" borderId="0" xfId="6" applyNumberFormat="1" applyFont="1" applyBorder="1" applyAlignment="1">
      <alignment vertical="center"/>
    </xf>
    <xf numFmtId="0" fontId="111" fillId="0" borderId="0" xfId="6" applyFont="1" applyBorder="1" applyAlignment="1">
      <alignment vertical="center"/>
    </xf>
    <xf numFmtId="49" fontId="110" fillId="3" borderId="25" xfId="6" applyNumberFormat="1" applyFont="1" applyFill="1" applyBorder="1" applyAlignment="1">
      <alignment horizontal="center" vertical="center"/>
    </xf>
    <xf numFmtId="3" fontId="111" fillId="0" borderId="0" xfId="6" applyNumberFormat="1" applyFont="1" applyFill="1" applyBorder="1" applyAlignment="1">
      <alignment vertical="center"/>
    </xf>
    <xf numFmtId="0" fontId="111" fillId="0" borderId="0" xfId="6" applyFont="1" applyFill="1" applyBorder="1" applyAlignment="1">
      <alignment vertical="center"/>
    </xf>
    <xf numFmtId="0" fontId="114" fillId="8" borderId="1" xfId="6" applyFont="1" applyFill="1" applyBorder="1" applyAlignment="1">
      <alignment horizontal="center" vertical="center"/>
    </xf>
    <xf numFmtId="0" fontId="112" fillId="8" borderId="73" xfId="6" applyFont="1" applyFill="1" applyBorder="1" applyAlignment="1">
      <alignment vertical="center" wrapText="1"/>
    </xf>
    <xf numFmtId="3" fontId="114" fillId="0" borderId="0" xfId="6" applyNumberFormat="1" applyFont="1" applyAlignment="1">
      <alignment vertical="center"/>
    </xf>
    <xf numFmtId="0" fontId="114" fillId="0" borderId="0" xfId="6" applyFont="1" applyAlignment="1">
      <alignment vertical="center"/>
    </xf>
    <xf numFmtId="0" fontId="114" fillId="0" borderId="34" xfId="6" applyFont="1" applyBorder="1" applyAlignment="1">
      <alignment horizontal="center" vertical="center"/>
    </xf>
    <xf numFmtId="0" fontId="114" fillId="0" borderId="9" xfId="6" applyFont="1" applyBorder="1" applyAlignment="1">
      <alignment vertical="center" wrapText="1"/>
    </xf>
    <xf numFmtId="0" fontId="114" fillId="8" borderId="34" xfId="6" applyFont="1" applyFill="1" applyBorder="1" applyAlignment="1">
      <alignment horizontal="center" vertical="center"/>
    </xf>
    <xf numFmtId="0" fontId="112" fillId="5" borderId="26" xfId="6" applyFont="1" applyFill="1" applyBorder="1" applyAlignment="1">
      <alignment vertical="center" wrapText="1"/>
    </xf>
    <xf numFmtId="0" fontId="114" fillId="0" borderId="5" xfId="6" applyFont="1" applyBorder="1" applyAlignment="1">
      <alignment horizontal="center" vertical="center"/>
    </xf>
    <xf numFmtId="0" fontId="114" fillId="0" borderId="19" xfId="6" applyFont="1" applyBorder="1" applyAlignment="1">
      <alignment vertical="center" wrapText="1"/>
    </xf>
    <xf numFmtId="0" fontId="112" fillId="3" borderId="16" xfId="6" applyFont="1" applyFill="1" applyBorder="1" applyAlignment="1">
      <alignment vertical="center" wrapText="1"/>
    </xf>
    <xf numFmtId="0" fontId="112" fillId="0" borderId="0" xfId="6" applyFont="1" applyFill="1" applyAlignment="1">
      <alignment vertical="center"/>
    </xf>
    <xf numFmtId="0" fontId="112" fillId="5" borderId="73" xfId="6" applyFont="1" applyFill="1" applyBorder="1" applyAlignment="1">
      <alignment vertical="center" wrapText="1"/>
    </xf>
    <xf numFmtId="0" fontId="114" fillId="0" borderId="0" xfId="6" applyFont="1" applyFill="1" applyAlignment="1">
      <alignment vertical="center"/>
    </xf>
    <xf numFmtId="0" fontId="112" fillId="3" borderId="0" xfId="6" applyFont="1" applyFill="1" applyAlignment="1">
      <alignment vertical="center"/>
    </xf>
    <xf numFmtId="0" fontId="114" fillId="8" borderId="1" xfId="0" applyFont="1" applyFill="1" applyBorder="1" applyAlignment="1">
      <alignment horizontal="center" vertical="center"/>
    </xf>
    <xf numFmtId="0" fontId="114" fillId="0" borderId="0" xfId="0" applyFont="1" applyAlignment="1">
      <alignment vertical="center"/>
    </xf>
    <xf numFmtId="0" fontId="114" fillId="0" borderId="34" xfId="0" applyFont="1" applyBorder="1" applyAlignment="1">
      <alignment horizontal="center" vertical="center"/>
    </xf>
    <xf numFmtId="0" fontId="114" fillId="0" borderId="34" xfId="6" applyFont="1" applyFill="1" applyBorder="1" applyAlignment="1">
      <alignment horizontal="center" vertical="center"/>
    </xf>
    <xf numFmtId="0" fontId="114" fillId="0" borderId="5" xfId="6" applyFont="1" applyFill="1" applyBorder="1" applyAlignment="1">
      <alignment horizontal="center" vertical="center"/>
    </xf>
    <xf numFmtId="0" fontId="112" fillId="0" borderId="0" xfId="6" applyFont="1" applyAlignment="1">
      <alignment vertical="center"/>
    </xf>
    <xf numFmtId="0" fontId="119" fillId="0" borderId="0" xfId="6" applyFont="1" applyAlignment="1">
      <alignment vertical="center"/>
    </xf>
    <xf numFmtId="0" fontId="114" fillId="0" borderId="36" xfId="6" applyFont="1" applyBorder="1" applyAlignment="1">
      <alignment horizontal="center" vertical="center"/>
    </xf>
    <xf numFmtId="0" fontId="114" fillId="0" borderId="21" xfId="6" applyFont="1" applyBorder="1" applyAlignment="1">
      <alignment vertical="center" wrapText="1"/>
    </xf>
    <xf numFmtId="0" fontId="121" fillId="0" borderId="0" xfId="6" applyFont="1" applyAlignment="1">
      <alignment vertical="center"/>
    </xf>
    <xf numFmtId="0" fontId="114" fillId="0" borderId="1" xfId="6" applyFont="1" applyBorder="1" applyAlignment="1">
      <alignment horizontal="center" vertical="center"/>
    </xf>
    <xf numFmtId="0" fontId="111" fillId="0" borderId="7" xfId="0" applyFont="1" applyBorder="1" applyAlignment="1">
      <alignment horizontal="left" vertical="center" wrapText="1"/>
    </xf>
    <xf numFmtId="0" fontId="111" fillId="0" borderId="9" xfId="0" applyFont="1" applyBorder="1" applyAlignment="1">
      <alignment horizontal="left" vertical="center" wrapText="1"/>
    </xf>
    <xf numFmtId="0" fontId="110" fillId="0" borderId="9" xfId="0" applyFont="1" applyBorder="1" applyAlignment="1">
      <alignment horizontal="left" vertical="center" wrapText="1"/>
    </xf>
    <xf numFmtId="0" fontId="112" fillId="0" borderId="34" xfId="6" applyFont="1" applyBorder="1" applyAlignment="1">
      <alignment horizontal="center" vertical="center"/>
    </xf>
    <xf numFmtId="0" fontId="111" fillId="0" borderId="26" xfId="0" applyFont="1" applyFill="1" applyBorder="1" applyAlignment="1">
      <alignment horizontal="left" vertical="center" wrapText="1"/>
    </xf>
    <xf numFmtId="0" fontId="122" fillId="0" borderId="49" xfId="0" applyFont="1" applyFill="1" applyBorder="1" applyAlignment="1">
      <alignment horizontal="left" vertical="center" wrapText="1"/>
    </xf>
    <xf numFmtId="0" fontId="122" fillId="0" borderId="2" xfId="0" applyFont="1" applyFill="1" applyBorder="1" applyAlignment="1">
      <alignment horizontal="left" vertical="center" wrapText="1"/>
    </xf>
    <xf numFmtId="0" fontId="111" fillId="0" borderId="26" xfId="0" applyFont="1" applyFill="1" applyBorder="1" applyAlignment="1">
      <alignment horizontal="left" vertical="center"/>
    </xf>
    <xf numFmtId="0" fontId="122" fillId="0" borderId="49" xfId="0" applyFont="1" applyFill="1" applyBorder="1" applyAlignment="1">
      <alignment horizontal="left" vertical="center"/>
    </xf>
    <xf numFmtId="0" fontId="122" fillId="0" borderId="2" xfId="0" applyFont="1" applyFill="1" applyBorder="1" applyAlignment="1">
      <alignment horizontal="left" vertical="center"/>
    </xf>
    <xf numFmtId="0" fontId="112" fillId="0" borderId="5" xfId="6" applyFont="1" applyBorder="1" applyAlignment="1">
      <alignment horizontal="center" vertical="center"/>
    </xf>
    <xf numFmtId="0" fontId="110" fillId="0" borderId="19" xfId="0" applyFont="1" applyBorder="1" applyAlignment="1">
      <alignment horizontal="left" vertical="center" wrapText="1"/>
    </xf>
    <xf numFmtId="0" fontId="114" fillId="9" borderId="25" xfId="6" applyFont="1" applyFill="1" applyBorder="1" applyAlignment="1">
      <alignment horizontal="center" vertical="center"/>
    </xf>
    <xf numFmtId="0" fontId="110" fillId="9" borderId="16" xfId="0" applyFont="1" applyFill="1" applyBorder="1" applyAlignment="1">
      <alignment horizontal="left" vertical="center" wrapText="1"/>
    </xf>
    <xf numFmtId="0" fontId="110" fillId="0" borderId="0" xfId="0" applyFont="1" applyBorder="1" applyAlignment="1">
      <alignment horizontal="center" vertical="center"/>
    </xf>
    <xf numFmtId="0" fontId="110" fillId="0" borderId="0" xfId="0" applyFont="1" applyBorder="1" applyAlignment="1">
      <alignment vertical="center" wrapText="1"/>
    </xf>
    <xf numFmtId="167" fontId="113" fillId="0" borderId="0" xfId="0" applyNumberFormat="1" applyFont="1" applyBorder="1" applyAlignment="1">
      <alignment horizontal="right" vertical="center"/>
    </xf>
    <xf numFmtId="167" fontId="110" fillId="0" borderId="0" xfId="0" applyNumberFormat="1" applyFont="1" applyAlignment="1">
      <alignment vertical="center"/>
    </xf>
    <xf numFmtId="0" fontId="110" fillId="0" borderId="0" xfId="0" applyFont="1" applyAlignment="1">
      <alignment vertical="center"/>
    </xf>
    <xf numFmtId="3" fontId="110" fillId="0" borderId="0" xfId="0" applyNumberFormat="1" applyFont="1" applyAlignment="1">
      <alignment vertical="center"/>
    </xf>
    <xf numFmtId="0" fontId="111" fillId="0" borderId="0" xfId="0" applyFont="1" applyAlignment="1">
      <alignment horizontal="center" vertical="center"/>
    </xf>
    <xf numFmtId="0" fontId="111" fillId="0" borderId="0" xfId="0" applyFont="1" applyAlignment="1">
      <alignment vertical="center" wrapText="1"/>
    </xf>
    <xf numFmtId="167" fontId="115" fillId="0" borderId="0" xfId="0" applyNumberFormat="1" applyFont="1" applyAlignment="1">
      <alignment vertical="center" wrapText="1"/>
    </xf>
    <xf numFmtId="0" fontId="111" fillId="0" borderId="0" xfId="0" applyFont="1" applyAlignment="1">
      <alignment vertical="center"/>
    </xf>
    <xf numFmtId="3" fontId="111" fillId="0" borderId="0" xfId="0" applyNumberFormat="1" applyFont="1" applyAlignment="1">
      <alignment vertical="center"/>
    </xf>
    <xf numFmtId="3" fontId="71" fillId="0" borderId="0" xfId="6" applyNumberFormat="1" applyFont="1" applyBorder="1" applyAlignment="1">
      <alignment horizontal="center" vertical="center"/>
    </xf>
    <xf numFmtId="41" fontId="116" fillId="0" borderId="26" xfId="6" applyNumberFormat="1" applyFont="1" applyBorder="1" applyAlignment="1">
      <alignment horizontal="right" vertical="center" wrapText="1" indent="2"/>
    </xf>
    <xf numFmtId="41" fontId="116" fillId="25" borderId="26" xfId="6" applyNumberFormat="1" applyFont="1" applyFill="1" applyBorder="1" applyAlignment="1">
      <alignment horizontal="right" vertical="center" wrapText="1" indent="2"/>
    </xf>
    <xf numFmtId="41" fontId="116" fillId="0" borderId="3" xfId="6" applyNumberFormat="1" applyFont="1" applyBorder="1" applyAlignment="1">
      <alignment horizontal="right" vertical="center" wrapText="1" indent="2"/>
    </xf>
    <xf numFmtId="0" fontId="114" fillId="8" borderId="46" xfId="6" applyFont="1" applyFill="1" applyBorder="1" applyAlignment="1">
      <alignment horizontal="center" vertical="center"/>
    </xf>
    <xf numFmtId="0" fontId="112" fillId="5" borderId="72" xfId="6" applyFont="1" applyFill="1" applyBorder="1" applyAlignment="1">
      <alignment vertical="center" wrapText="1"/>
    </xf>
    <xf numFmtId="0" fontId="114" fillId="0" borderId="36" xfId="0" applyFont="1" applyBorder="1" applyAlignment="1">
      <alignment horizontal="center" vertical="center"/>
    </xf>
    <xf numFmtId="0" fontId="84" fillId="8" borderId="1" xfId="6" applyFont="1" applyFill="1" applyBorder="1" applyAlignment="1">
      <alignment horizontal="center" vertical="center"/>
    </xf>
    <xf numFmtId="0" fontId="93" fillId="8" borderId="73" xfId="6" applyFont="1" applyFill="1" applyBorder="1" applyAlignment="1">
      <alignment vertical="center" wrapText="1"/>
    </xf>
    <xf numFmtId="3" fontId="84" fillId="0" borderId="0" xfId="6" applyNumberFormat="1" applyFont="1" applyAlignment="1">
      <alignment vertical="center"/>
    </xf>
    <xf numFmtId="3" fontId="93" fillId="0" borderId="0" xfId="6" applyNumberFormat="1" applyFont="1" applyAlignment="1">
      <alignment vertical="center"/>
    </xf>
    <xf numFmtId="3" fontId="84" fillId="0" borderId="0" xfId="6" applyNumberFormat="1" applyFont="1" applyFill="1" applyAlignment="1">
      <alignment vertical="center"/>
    </xf>
    <xf numFmtId="3" fontId="67" fillId="0" borderId="0" xfId="0" applyNumberFormat="1" applyFont="1" applyAlignment="1">
      <alignment vertical="center"/>
    </xf>
    <xf numFmtId="0" fontId="85" fillId="0" borderId="73" xfId="0" applyFont="1" applyBorder="1" applyAlignment="1">
      <alignment vertical="center" wrapText="1"/>
    </xf>
    <xf numFmtId="0" fontId="85" fillId="0" borderId="26" xfId="0" applyFont="1" applyBorder="1" applyAlignment="1">
      <alignment vertical="center" wrapText="1"/>
    </xf>
    <xf numFmtId="0" fontId="85" fillId="0" borderId="9" xfId="0" applyFont="1" applyBorder="1" applyAlignment="1">
      <alignment vertical="center" wrapText="1"/>
    </xf>
    <xf numFmtId="0" fontId="85" fillId="0" borderId="19" xfId="0" applyFont="1" applyBorder="1" applyAlignment="1">
      <alignment vertical="center" wrapText="1"/>
    </xf>
    <xf numFmtId="0" fontId="85" fillId="3" borderId="15" xfId="0" applyFont="1" applyFill="1" applyBorder="1" applyAlignment="1">
      <alignment vertical="center"/>
    </xf>
    <xf numFmtId="0" fontId="92" fillId="8" borderId="15" xfId="0" applyFont="1" applyFill="1" applyBorder="1" applyAlignment="1">
      <alignment horizontal="center" vertical="center"/>
    </xf>
    <xf numFmtId="41" fontId="92" fillId="8" borderId="80" xfId="0" applyNumberFormat="1" applyFont="1" applyFill="1" applyBorder="1" applyAlignment="1">
      <alignment horizontal="center" vertical="center" wrapText="1"/>
    </xf>
    <xf numFmtId="0" fontId="85" fillId="0" borderId="1" xfId="0" applyFont="1" applyFill="1" applyBorder="1" applyAlignment="1">
      <alignment horizontal="center" vertical="center"/>
    </xf>
    <xf numFmtId="0" fontId="85" fillId="0" borderId="34" xfId="0" applyFont="1" applyFill="1" applyBorder="1" applyAlignment="1">
      <alignment horizontal="center" vertical="center"/>
    </xf>
    <xf numFmtId="0" fontId="92" fillId="0" borderId="71" xfId="0" applyFont="1" applyFill="1" applyBorder="1" applyAlignment="1">
      <alignment horizontal="center" vertical="center"/>
    </xf>
    <xf numFmtId="41" fontId="65" fillId="0" borderId="79" xfId="0" applyNumberFormat="1" applyFont="1" applyBorder="1" applyAlignment="1">
      <alignment horizontal="center" vertical="center" wrapText="1"/>
    </xf>
    <xf numFmtId="0" fontId="65" fillId="0" borderId="42" xfId="0" applyFont="1" applyFill="1" applyBorder="1" applyAlignment="1">
      <alignment horizontal="center" vertical="center" wrapText="1"/>
    </xf>
    <xf numFmtId="3" fontId="54" fillId="0" borderId="22" xfId="0" applyNumberFormat="1" applyFont="1" applyBorder="1" applyAlignment="1">
      <alignment horizontal="right" vertical="center" indent="1"/>
    </xf>
    <xf numFmtId="41" fontId="95" fillId="25" borderId="88" xfId="0" applyNumberFormat="1" applyFont="1" applyFill="1" applyBorder="1" applyAlignment="1">
      <alignment horizontal="right" vertical="center" indent="1"/>
    </xf>
    <xf numFmtId="0" fontId="54" fillId="0" borderId="73" xfId="0" applyFont="1" applyBorder="1" applyAlignment="1">
      <alignment vertical="center" wrapText="1"/>
    </xf>
    <xf numFmtId="0" fontId="54" fillId="0" borderId="26" xfId="0" applyFont="1" applyBorder="1" applyAlignment="1">
      <alignment vertical="center" wrapText="1"/>
    </xf>
    <xf numFmtId="0" fontId="54" fillId="0" borderId="33" xfId="0" applyFont="1" applyBorder="1" applyAlignment="1">
      <alignment vertical="center" wrapText="1"/>
    </xf>
    <xf numFmtId="0" fontId="29" fillId="0" borderId="76" xfId="0" applyFont="1" applyBorder="1" applyAlignment="1">
      <alignment horizontal="center" vertical="center" wrapText="1"/>
    </xf>
    <xf numFmtId="41" fontId="64" fillId="25" borderId="0" xfId="1" applyNumberFormat="1" applyFont="1" applyFill="1" applyBorder="1" applyAlignment="1">
      <alignment horizontal="right" vertical="center" indent="1"/>
    </xf>
    <xf numFmtId="41" fontId="64" fillId="25" borderId="26" xfId="1" applyNumberFormat="1" applyFont="1" applyFill="1" applyBorder="1" applyAlignment="1">
      <alignment horizontal="right" vertical="center" indent="1"/>
    </xf>
    <xf numFmtId="41" fontId="54" fillId="0" borderId="0" xfId="6" applyNumberFormat="1" applyFont="1" applyAlignment="1">
      <alignment vertical="center"/>
    </xf>
    <xf numFmtId="41" fontId="64" fillId="0" borderId="2" xfId="1" applyNumberFormat="1" applyFont="1" applyBorder="1" applyAlignment="1">
      <alignment horizontal="right" vertical="center" indent="1"/>
    </xf>
    <xf numFmtId="164" fontId="54" fillId="0" borderId="0" xfId="6" applyNumberFormat="1" applyFont="1" applyAlignment="1">
      <alignment vertical="center"/>
    </xf>
    <xf numFmtId="0" fontId="63" fillId="0" borderId="30" xfId="6" applyFont="1" applyBorder="1" applyAlignment="1">
      <alignment horizontal="center" vertical="center"/>
    </xf>
    <xf numFmtId="0" fontId="54" fillId="0" borderId="21" xfId="0" applyFont="1" applyFill="1" applyBorder="1" applyAlignment="1">
      <alignment horizontal="center" vertical="center" wrapText="1"/>
    </xf>
    <xf numFmtId="168" fontId="54" fillId="0" borderId="46" xfId="0" applyNumberFormat="1" applyFont="1" applyFill="1" applyBorder="1" applyAlignment="1">
      <alignment horizontal="center" vertical="center" wrapText="1"/>
    </xf>
    <xf numFmtId="0" fontId="54" fillId="0" borderId="17" xfId="0" applyFont="1" applyFill="1" applyBorder="1" applyAlignment="1">
      <alignment horizontal="left" vertical="center" wrapText="1"/>
    </xf>
    <xf numFmtId="14" fontId="54" fillId="0" borderId="17" xfId="0" applyNumberFormat="1" applyFont="1" applyFill="1" applyBorder="1" applyAlignment="1">
      <alignment horizontal="center" vertical="center" wrapText="1"/>
    </xf>
    <xf numFmtId="0" fontId="54" fillId="0" borderId="17" xfId="0" applyFont="1" applyFill="1" applyBorder="1" applyAlignment="1">
      <alignment horizontal="center" vertical="center" wrapText="1"/>
    </xf>
    <xf numFmtId="169" fontId="54" fillId="0" borderId="18" xfId="0" applyNumberFormat="1" applyFont="1" applyFill="1" applyBorder="1" applyAlignment="1">
      <alignment horizontal="right" vertical="center" wrapText="1" indent="2"/>
    </xf>
    <xf numFmtId="14" fontId="54" fillId="0" borderId="46" xfId="2" applyNumberFormat="1" applyFont="1" applyFill="1" applyBorder="1" applyAlignment="1">
      <alignment horizontal="center" vertical="center"/>
    </xf>
    <xf numFmtId="0" fontId="54" fillId="0" borderId="17" xfId="2" applyFont="1" applyFill="1" applyBorder="1" applyAlignment="1">
      <alignment horizontal="left" vertical="center" wrapText="1"/>
    </xf>
    <xf numFmtId="0" fontId="54" fillId="0" borderId="17" xfId="2" applyFont="1" applyFill="1" applyBorder="1" applyAlignment="1">
      <alignment horizontal="center" vertical="center" wrapText="1"/>
    </xf>
    <xf numFmtId="0" fontId="54" fillId="0" borderId="17" xfId="2" applyFont="1" applyFill="1" applyBorder="1" applyAlignment="1">
      <alignment horizontal="right" vertical="center" wrapText="1"/>
    </xf>
    <xf numFmtId="169" fontId="54" fillId="0" borderId="18" xfId="2" applyNumberFormat="1" applyFont="1" applyFill="1" applyBorder="1" applyAlignment="1">
      <alignment horizontal="right" vertical="center" wrapText="1" indent="2"/>
    </xf>
    <xf numFmtId="0" fontId="55" fillId="0" borderId="10" xfId="0" applyFont="1" applyBorder="1" applyAlignment="1">
      <alignment vertical="center"/>
    </xf>
    <xf numFmtId="0" fontId="55" fillId="0" borderId="7" xfId="0" applyFont="1" applyBorder="1" applyAlignment="1">
      <alignment vertical="center"/>
    </xf>
    <xf numFmtId="0" fontId="54" fillId="0" borderId="50" xfId="0" applyFont="1" applyFill="1" applyBorder="1" applyAlignment="1" applyProtection="1">
      <alignment horizontal="left" vertical="center" wrapText="1"/>
      <protection locked="0"/>
    </xf>
    <xf numFmtId="0" fontId="54" fillId="0" borderId="2" xfId="0" applyFont="1" applyFill="1" applyBorder="1" applyAlignment="1" applyProtection="1">
      <alignment horizontal="left" vertical="center" wrapText="1"/>
      <protection locked="0"/>
    </xf>
    <xf numFmtId="41" fontId="54" fillId="0" borderId="9" xfId="0" applyNumberFormat="1" applyFont="1" applyFill="1" applyBorder="1" applyAlignment="1" applyProtection="1">
      <alignment horizontal="right" vertical="center"/>
      <protection locked="0"/>
    </xf>
    <xf numFmtId="41" fontId="54" fillId="0" borderId="2" xfId="0" applyNumberFormat="1" applyFont="1" applyBorder="1" applyAlignment="1">
      <alignment horizontal="right" vertical="center"/>
    </xf>
    <xf numFmtId="41" fontId="54" fillId="0" borderId="9" xfId="0" applyNumberFormat="1" applyFont="1" applyBorder="1" applyAlignment="1">
      <alignment horizontal="right" vertical="center"/>
    </xf>
    <xf numFmtId="41" fontId="54" fillId="0" borderId="26" xfId="0" applyNumberFormat="1" applyFont="1" applyBorder="1" applyAlignment="1">
      <alignment horizontal="right" vertical="center"/>
    </xf>
    <xf numFmtId="49" fontId="55" fillId="0" borderId="10" xfId="0" applyNumberFormat="1" applyFont="1" applyFill="1" applyBorder="1" applyAlignment="1" applyProtection="1">
      <alignment horizontal="left" vertical="center" wrapText="1"/>
      <protection locked="0"/>
    </xf>
    <xf numFmtId="41" fontId="55" fillId="0" borderId="10" xfId="0" applyNumberFormat="1" applyFont="1" applyFill="1" applyBorder="1" applyAlignment="1" applyProtection="1">
      <alignment horizontal="right" vertical="center"/>
      <protection locked="0"/>
    </xf>
    <xf numFmtId="41" fontId="55" fillId="0" borderId="58" xfId="0" applyNumberFormat="1" applyFont="1" applyBorder="1" applyAlignment="1">
      <alignment horizontal="right" vertical="center"/>
    </xf>
    <xf numFmtId="41" fontId="55" fillId="0" borderId="10" xfId="0" applyNumberFormat="1" applyFont="1" applyBorder="1" applyAlignment="1">
      <alignment horizontal="right" vertical="center"/>
    </xf>
    <xf numFmtId="41" fontId="55" fillId="0" borderId="57" xfId="0" applyNumberFormat="1" applyFont="1" applyBorder="1" applyAlignment="1">
      <alignment horizontal="right" vertical="center"/>
    </xf>
    <xf numFmtId="41" fontId="55" fillId="0" borderId="92" xfId="0" applyNumberFormat="1" applyFont="1" applyBorder="1" applyAlignment="1">
      <alignment horizontal="right" vertical="center"/>
    </xf>
    <xf numFmtId="0" fontId="55" fillId="0" borderId="12" xfId="0" applyFont="1" applyFill="1" applyBorder="1" applyAlignment="1" applyProtection="1">
      <alignment horizontal="left" vertical="center" wrapText="1"/>
      <protection locked="0"/>
    </xf>
    <xf numFmtId="41" fontId="55" fillId="0" borderId="12" xfId="0" applyNumberFormat="1" applyFont="1" applyFill="1" applyBorder="1" applyAlignment="1" applyProtection="1">
      <alignment horizontal="right" vertical="center"/>
      <protection locked="0"/>
    </xf>
    <xf numFmtId="41" fontId="55" fillId="0" borderId="12" xfId="0" applyNumberFormat="1" applyFont="1" applyBorder="1" applyAlignment="1">
      <alignment horizontal="right" vertical="center"/>
    </xf>
    <xf numFmtId="41" fontId="55" fillId="0" borderId="93" xfId="0" applyNumberFormat="1" applyFont="1" applyBorder="1" applyAlignment="1">
      <alignment horizontal="right" vertical="center"/>
    </xf>
    <xf numFmtId="0" fontId="55" fillId="0" borderId="50" xfId="0" applyFont="1" applyFill="1" applyBorder="1" applyAlignment="1" applyProtection="1">
      <alignment horizontal="left" vertical="center" wrapText="1"/>
      <protection locked="0"/>
    </xf>
    <xf numFmtId="41" fontId="55" fillId="0" borderId="14" xfId="0" applyNumberFormat="1" applyFont="1" applyFill="1" applyBorder="1" applyAlignment="1" applyProtection="1">
      <alignment horizontal="right" vertical="center"/>
      <protection locked="0"/>
    </xf>
    <xf numFmtId="41" fontId="55" fillId="0" borderId="59" xfId="0" applyNumberFormat="1" applyFont="1" applyBorder="1" applyAlignment="1">
      <alignment horizontal="right" vertical="center"/>
    </xf>
    <xf numFmtId="41" fontId="55" fillId="0" borderId="14" xfId="0" applyNumberFormat="1" applyFont="1" applyBorder="1" applyAlignment="1">
      <alignment horizontal="right" vertical="center"/>
    </xf>
    <xf numFmtId="41" fontId="55" fillId="0" borderId="94" xfId="0" applyNumberFormat="1" applyFont="1" applyBorder="1" applyAlignment="1">
      <alignment horizontal="right" vertical="center"/>
    </xf>
    <xf numFmtId="0" fontId="55" fillId="0" borderId="19" xfId="0" applyFont="1" applyFill="1" applyBorder="1" applyAlignment="1" applyProtection="1">
      <alignment horizontal="left" vertical="center" wrapText="1"/>
      <protection locked="0"/>
    </xf>
    <xf numFmtId="41" fontId="55" fillId="0" borderId="19" xfId="0" applyNumberFormat="1" applyFont="1" applyFill="1" applyBorder="1" applyAlignment="1" applyProtection="1">
      <alignment horizontal="right" vertical="center"/>
      <protection locked="0"/>
    </xf>
    <xf numFmtId="41" fontId="55" fillId="0" borderId="2" xfId="0" applyNumberFormat="1" applyFont="1" applyBorder="1" applyAlignment="1">
      <alignment horizontal="right" vertical="center"/>
    </xf>
    <xf numFmtId="41" fontId="55" fillId="0" borderId="9" xfId="0" applyNumberFormat="1" applyFont="1" applyBorder="1" applyAlignment="1">
      <alignment horizontal="right" vertical="center"/>
    </xf>
    <xf numFmtId="41" fontId="55" fillId="0" borderId="26" xfId="0" applyNumberFormat="1" applyFont="1" applyBorder="1" applyAlignment="1">
      <alignment horizontal="right" vertical="center"/>
    </xf>
    <xf numFmtId="41" fontId="55" fillId="0" borderId="7" xfId="0" applyNumberFormat="1" applyFont="1" applyFill="1" applyBorder="1" applyAlignment="1" applyProtection="1">
      <alignment horizontal="right" vertical="center"/>
      <protection locked="0"/>
    </xf>
    <xf numFmtId="0" fontId="55" fillId="0" borderId="10" xfId="0" applyFont="1" applyFill="1" applyBorder="1" applyAlignment="1" applyProtection="1">
      <alignment horizontal="left" vertical="center" wrapText="1"/>
      <protection locked="0"/>
    </xf>
    <xf numFmtId="0" fontId="70" fillId="0" borderId="14" xfId="0" applyFont="1" applyBorder="1" applyAlignment="1">
      <alignment horizontal="left" vertical="center" wrapText="1"/>
    </xf>
    <xf numFmtId="0" fontId="54" fillId="0" borderId="32" xfId="0" applyFont="1" applyFill="1" applyBorder="1" applyAlignment="1" applyProtection="1">
      <alignment horizontal="left" vertical="center" wrapText="1"/>
      <protection locked="0"/>
    </xf>
    <xf numFmtId="41" fontId="54" fillId="0" borderId="21" xfId="0" applyNumberFormat="1" applyFont="1" applyFill="1" applyBorder="1" applyAlignment="1" applyProtection="1">
      <alignment horizontal="right" vertical="center"/>
      <protection locked="0"/>
    </xf>
    <xf numFmtId="0" fontId="55" fillId="0" borderId="12" xfId="0" applyFont="1" applyBorder="1" applyAlignment="1">
      <alignment vertical="center"/>
    </xf>
    <xf numFmtId="0" fontId="89" fillId="0" borderId="34" xfId="4" applyFont="1" applyBorder="1" applyAlignment="1">
      <alignment horizontal="left" vertical="center" wrapText="1" indent="1"/>
    </xf>
    <xf numFmtId="41" fontId="88" fillId="0" borderId="9" xfId="4" applyNumberFormat="1" applyFont="1" applyBorder="1" applyAlignment="1" applyProtection="1">
      <alignment horizontal="right" vertical="center" wrapText="1"/>
    </xf>
    <xf numFmtId="41" fontId="88" fillId="0" borderId="9" xfId="4" applyNumberFormat="1" applyFont="1" applyBorder="1" applyAlignment="1">
      <alignment horizontal="right" vertical="center" wrapText="1"/>
    </xf>
    <xf numFmtId="41" fontId="86" fillId="3" borderId="9" xfId="4" applyNumberFormat="1" applyFont="1" applyFill="1" applyBorder="1" applyAlignment="1" applyProtection="1">
      <alignment horizontal="right" vertical="center" wrapText="1"/>
    </xf>
    <xf numFmtId="41" fontId="86" fillId="9" borderId="9" xfId="4" applyNumberFormat="1" applyFont="1" applyFill="1" applyBorder="1" applyAlignment="1" applyProtection="1">
      <alignment horizontal="right" vertical="center" wrapText="1"/>
    </xf>
    <xf numFmtId="41" fontId="86" fillId="0" borderId="9" xfId="4" applyNumberFormat="1" applyFont="1" applyBorder="1" applyAlignment="1" applyProtection="1">
      <alignment horizontal="right" vertical="center" wrapText="1"/>
    </xf>
    <xf numFmtId="41" fontId="86" fillId="0" borderId="9" xfId="4" applyNumberFormat="1" applyFont="1" applyBorder="1" applyAlignment="1">
      <alignment horizontal="right" vertical="center" wrapText="1"/>
    </xf>
    <xf numFmtId="41" fontId="89" fillId="0" borderId="9" xfId="4" applyNumberFormat="1" applyFont="1" applyBorder="1" applyAlignment="1" applyProtection="1">
      <alignment horizontal="right" vertical="center" wrapText="1"/>
    </xf>
    <xf numFmtId="41" fontId="89" fillId="0" borderId="9" xfId="4" applyNumberFormat="1" applyFont="1" applyBorder="1" applyAlignment="1">
      <alignment horizontal="right" vertical="center" wrapText="1"/>
    </xf>
    <xf numFmtId="41" fontId="86" fillId="0" borderId="9" xfId="4" applyNumberFormat="1" applyFont="1" applyFill="1" applyBorder="1" applyAlignment="1" applyProtection="1">
      <alignment horizontal="right" vertical="center" wrapText="1"/>
    </xf>
    <xf numFmtId="41" fontId="86" fillId="0" borderId="9" xfId="4" applyNumberFormat="1" applyFont="1" applyFill="1" applyBorder="1" applyAlignment="1">
      <alignment horizontal="right" vertical="center" wrapText="1"/>
    </xf>
    <xf numFmtId="41" fontId="86" fillId="4" borderId="21" xfId="4" applyNumberFormat="1" applyFont="1" applyFill="1" applyBorder="1" applyAlignment="1" applyProtection="1">
      <alignment horizontal="right" vertical="center" wrapText="1"/>
    </xf>
    <xf numFmtId="41" fontId="86" fillId="4" borderId="21" xfId="4" applyNumberFormat="1" applyFont="1" applyFill="1" applyBorder="1" applyAlignment="1">
      <alignment horizontal="right" vertical="center" wrapText="1"/>
    </xf>
    <xf numFmtId="41" fontId="86" fillId="3" borderId="76" xfId="4" applyNumberFormat="1" applyFont="1" applyFill="1" applyBorder="1" applyAlignment="1" applyProtection="1">
      <alignment horizontal="right" vertical="center" wrapText="1"/>
    </xf>
    <xf numFmtId="41" fontId="86" fillId="3" borderId="16" xfId="4" applyNumberFormat="1" applyFont="1" applyFill="1" applyBorder="1" applyAlignment="1" applyProtection="1">
      <alignment horizontal="right" vertical="center" wrapText="1"/>
    </xf>
    <xf numFmtId="41" fontId="86" fillId="3" borderId="35" xfId="4" applyNumberFormat="1" applyFont="1" applyFill="1" applyBorder="1" applyAlignment="1">
      <alignment horizontal="right" vertical="center" wrapText="1"/>
    </xf>
    <xf numFmtId="41" fontId="86" fillId="3" borderId="3" xfId="4" applyNumberFormat="1" applyFont="1" applyFill="1" applyBorder="1" applyAlignment="1">
      <alignment horizontal="right" vertical="center" wrapText="1"/>
    </xf>
    <xf numFmtId="41" fontId="88" fillId="25" borderId="9" xfId="4" applyNumberFormat="1" applyFont="1" applyFill="1" applyBorder="1" applyAlignment="1">
      <alignment horizontal="right" vertical="center" wrapText="1"/>
    </xf>
    <xf numFmtId="41" fontId="88" fillId="25" borderId="3" xfId="4" applyNumberFormat="1" applyFont="1" applyFill="1" applyBorder="1" applyAlignment="1">
      <alignment horizontal="right" vertical="center" wrapText="1"/>
    </xf>
    <xf numFmtId="41" fontId="86" fillId="0" borderId="3" xfId="4" applyNumberFormat="1" applyFont="1" applyFill="1" applyBorder="1" applyAlignment="1">
      <alignment horizontal="right" vertical="center" wrapText="1"/>
    </xf>
    <xf numFmtId="41" fontId="102" fillId="0" borderId="9" xfId="4" applyNumberFormat="1" applyFont="1" applyFill="1" applyBorder="1" applyAlignment="1">
      <alignment horizontal="right" vertical="center" wrapText="1"/>
    </xf>
    <xf numFmtId="41" fontId="102" fillId="0" borderId="3" xfId="4" applyNumberFormat="1" applyFont="1" applyFill="1" applyBorder="1" applyAlignment="1">
      <alignment horizontal="right" vertical="center" wrapText="1"/>
    </xf>
    <xf numFmtId="41" fontId="89" fillId="0" borderId="3" xfId="4" applyNumberFormat="1" applyFont="1" applyBorder="1" applyAlignment="1">
      <alignment horizontal="right" vertical="center" wrapText="1"/>
    </xf>
    <xf numFmtId="41" fontId="86" fillId="4" borderId="22" xfId="4" applyNumberFormat="1" applyFont="1" applyFill="1" applyBorder="1" applyAlignment="1">
      <alignment horizontal="right" vertical="center" wrapText="1"/>
    </xf>
    <xf numFmtId="41" fontId="19" fillId="6" borderId="73" xfId="0" applyNumberFormat="1" applyFont="1" applyFill="1" applyBorder="1" applyAlignment="1">
      <alignment horizontal="right" vertical="center" wrapText="1" indent="1"/>
    </xf>
    <xf numFmtId="41" fontId="19" fillId="6" borderId="8" xfId="0" applyNumberFormat="1" applyFont="1" applyFill="1" applyBorder="1" applyAlignment="1">
      <alignment horizontal="right" vertical="center" wrapText="1" indent="1"/>
    </xf>
    <xf numFmtId="41" fontId="19" fillId="6" borderId="26" xfId="0" applyNumberFormat="1" applyFont="1" applyFill="1" applyBorder="1" applyAlignment="1">
      <alignment horizontal="right" vertical="center" wrapText="1" indent="1"/>
    </xf>
    <xf numFmtId="41" fontId="19" fillId="6" borderId="3" xfId="0" applyNumberFormat="1" applyFont="1" applyFill="1" applyBorder="1" applyAlignment="1">
      <alignment horizontal="right" vertical="center" wrapText="1" indent="1"/>
    </xf>
    <xf numFmtId="41" fontId="19" fillId="6" borderId="33" xfId="0" applyNumberFormat="1" applyFont="1" applyFill="1" applyBorder="1" applyAlignment="1">
      <alignment horizontal="right" vertical="center" wrapText="1" indent="1"/>
    </xf>
    <xf numFmtId="41" fontId="19" fillId="6" borderId="47" xfId="0" applyNumberFormat="1" applyFont="1" applyFill="1" applyBorder="1" applyAlignment="1">
      <alignment horizontal="right" vertical="center" wrapText="1" indent="1"/>
    </xf>
    <xf numFmtId="41" fontId="18" fillId="6" borderId="76" xfId="0" applyNumberFormat="1" applyFont="1" applyFill="1" applyBorder="1" applyAlignment="1">
      <alignment horizontal="right" vertical="center" wrapText="1" indent="1"/>
    </xf>
    <xf numFmtId="41" fontId="23" fillId="6" borderId="26" xfId="0" applyNumberFormat="1" applyFont="1" applyFill="1" applyBorder="1" applyAlignment="1">
      <alignment horizontal="right" vertical="center" wrapText="1" indent="1"/>
    </xf>
    <xf numFmtId="41" fontId="23" fillId="6" borderId="3" xfId="0" applyNumberFormat="1" applyFont="1" applyFill="1" applyBorder="1" applyAlignment="1">
      <alignment horizontal="right" vertical="center" wrapText="1" indent="1"/>
    </xf>
    <xf numFmtId="41" fontId="23" fillId="6" borderId="33" xfId="0" applyNumberFormat="1" applyFont="1" applyFill="1" applyBorder="1" applyAlignment="1">
      <alignment horizontal="right" vertical="center" wrapText="1" indent="1"/>
    </xf>
    <xf numFmtId="41" fontId="23" fillId="6" borderId="47" xfId="0" applyNumberFormat="1" applyFont="1" applyFill="1" applyBorder="1" applyAlignment="1">
      <alignment horizontal="right" vertical="center" wrapText="1" indent="1"/>
    </xf>
    <xf numFmtId="41" fontId="32" fillId="6" borderId="76" xfId="0" applyNumberFormat="1" applyFont="1" applyFill="1" applyBorder="1" applyAlignment="1">
      <alignment horizontal="right" vertical="center" wrapText="1" indent="1"/>
    </xf>
    <xf numFmtId="41" fontId="18" fillId="9" borderId="76" xfId="0" applyNumberFormat="1" applyFont="1" applyFill="1" applyBorder="1" applyAlignment="1">
      <alignment horizontal="right" vertical="center" wrapText="1" indent="1"/>
    </xf>
    <xf numFmtId="41" fontId="62" fillId="9" borderId="23" xfId="50" applyNumberFormat="1" applyFont="1" applyFill="1" applyBorder="1" applyAlignment="1">
      <alignment horizontal="right" vertical="center" wrapText="1" indent="1"/>
    </xf>
    <xf numFmtId="41" fontId="92" fillId="9" borderId="16" xfId="0" applyNumberFormat="1" applyFont="1" applyFill="1" applyBorder="1" applyAlignment="1">
      <alignment horizontal="right" vertical="center" wrapText="1"/>
    </xf>
    <xf numFmtId="41" fontId="92" fillId="9" borderId="23" xfId="0" applyNumberFormat="1" applyFont="1" applyFill="1" applyBorder="1" applyAlignment="1">
      <alignment horizontal="right" vertical="center" wrapText="1"/>
    </xf>
    <xf numFmtId="41" fontId="92" fillId="0" borderId="7" xfId="0" applyNumberFormat="1" applyFont="1" applyBorder="1" applyAlignment="1">
      <alignment horizontal="right" vertical="center" wrapText="1"/>
    </xf>
    <xf numFmtId="41" fontId="93" fillId="0" borderId="8" xfId="0" applyNumberFormat="1" applyFont="1" applyBorder="1" applyAlignment="1">
      <alignment horizontal="right" vertical="center" wrapText="1"/>
    </xf>
    <xf numFmtId="41" fontId="92" fillId="0" borderId="9" xfId="0" applyNumberFormat="1" applyFont="1" applyBorder="1" applyAlignment="1">
      <alignment horizontal="right" vertical="center" wrapText="1"/>
    </xf>
    <xf numFmtId="41" fontId="92" fillId="0" borderId="39" xfId="0" applyNumberFormat="1" applyFont="1" applyBorder="1" applyAlignment="1">
      <alignment horizontal="right" vertical="center" wrapText="1"/>
    </xf>
    <xf numFmtId="41" fontId="85" fillId="0" borderId="9" xfId="0" applyNumberFormat="1" applyFont="1" applyBorder="1" applyAlignment="1">
      <alignment horizontal="right" vertical="center" wrapText="1"/>
    </xf>
    <xf numFmtId="41" fontId="84" fillId="0" borderId="9" xfId="0" applyNumberFormat="1" applyFont="1" applyBorder="1" applyAlignment="1">
      <alignment horizontal="right" vertical="center" wrapText="1"/>
    </xf>
    <xf numFmtId="41" fontId="84" fillId="0" borderId="3" xfId="0" applyNumberFormat="1" applyFont="1" applyBorder="1" applyAlignment="1">
      <alignment horizontal="right" vertical="center" wrapText="1"/>
    </xf>
    <xf numFmtId="41" fontId="84" fillId="0" borderId="26" xfId="0" applyNumberFormat="1" applyFont="1" applyBorder="1" applyAlignment="1">
      <alignment horizontal="right" vertical="center" wrapText="1"/>
    </xf>
    <xf numFmtId="41" fontId="92" fillId="0" borderId="26" xfId="0" applyNumberFormat="1" applyFont="1" applyBorder="1" applyAlignment="1">
      <alignment horizontal="right" vertical="center" wrapText="1"/>
    </xf>
    <xf numFmtId="41" fontId="93" fillId="0" borderId="3" xfId="0" applyNumberFormat="1" applyFont="1" applyBorder="1" applyAlignment="1">
      <alignment horizontal="right" vertical="center" wrapText="1"/>
    </xf>
    <xf numFmtId="41" fontId="85" fillId="0" borderId="26" xfId="0" applyNumberFormat="1" applyFont="1" applyBorder="1" applyAlignment="1">
      <alignment horizontal="right" vertical="center" wrapText="1"/>
    </xf>
    <xf numFmtId="41" fontId="92" fillId="0" borderId="3" xfId="0" applyNumberFormat="1" applyFont="1" applyBorder="1" applyAlignment="1">
      <alignment horizontal="right" vertical="center" wrapText="1"/>
    </xf>
    <xf numFmtId="41" fontId="85" fillId="25" borderId="26" xfId="0" applyNumberFormat="1" applyFont="1" applyFill="1" applyBorder="1" applyAlignment="1">
      <alignment horizontal="right" vertical="center" wrapText="1"/>
    </xf>
    <xf numFmtId="41" fontId="93" fillId="0" borderId="9" xfId="0" applyNumberFormat="1" applyFont="1" applyBorder="1" applyAlignment="1">
      <alignment horizontal="right" vertical="center" wrapText="1"/>
    </xf>
    <xf numFmtId="41" fontId="85" fillId="0" borderId="33" xfId="0" applyNumberFormat="1" applyFont="1" applyBorder="1" applyAlignment="1">
      <alignment horizontal="right" vertical="center" wrapText="1"/>
    </xf>
    <xf numFmtId="41" fontId="84" fillId="0" borderId="19" xfId="0" applyNumberFormat="1" applyFont="1" applyBorder="1" applyAlignment="1">
      <alignment horizontal="right" vertical="center" wrapText="1"/>
    </xf>
    <xf numFmtId="41" fontId="84" fillId="0" borderId="47" xfId="0" applyNumberFormat="1" applyFont="1" applyBorder="1" applyAlignment="1">
      <alignment horizontal="right" vertical="center" wrapText="1"/>
    </xf>
    <xf numFmtId="41" fontId="92" fillId="9" borderId="76" xfId="0" applyNumberFormat="1" applyFont="1" applyFill="1" applyBorder="1" applyAlignment="1">
      <alignment horizontal="right" vertical="center" wrapText="1"/>
    </xf>
    <xf numFmtId="41" fontId="93" fillId="9" borderId="23" xfId="0" applyNumberFormat="1" applyFont="1" applyFill="1" applyBorder="1" applyAlignment="1">
      <alignment horizontal="right" vertical="center" wrapText="1"/>
    </xf>
    <xf numFmtId="41" fontId="92" fillId="0" borderId="73" xfId="0" applyNumberFormat="1" applyFont="1" applyBorder="1" applyAlignment="1">
      <alignment horizontal="right" vertical="center" wrapText="1"/>
    </xf>
    <xf numFmtId="41" fontId="85" fillId="0" borderId="3" xfId="0" applyNumberFormat="1" applyFont="1" applyBorder="1" applyAlignment="1">
      <alignment horizontal="right" vertical="center" wrapText="1"/>
    </xf>
    <xf numFmtId="41" fontId="92" fillId="0" borderId="72" xfId="0" applyNumberFormat="1" applyFont="1" applyBorder="1" applyAlignment="1">
      <alignment horizontal="right" vertical="center" wrapText="1"/>
    </xf>
    <xf numFmtId="41" fontId="93" fillId="0" borderId="18" xfId="0" applyNumberFormat="1" applyFont="1" applyBorder="1" applyAlignment="1">
      <alignment horizontal="right" vertical="center" wrapText="1"/>
    </xf>
    <xf numFmtId="41" fontId="95" fillId="0" borderId="26" xfId="0" applyNumberFormat="1" applyFont="1" applyBorder="1" applyAlignment="1">
      <alignment horizontal="right" vertical="center" wrapText="1"/>
    </xf>
    <xf numFmtId="41" fontId="94" fillId="0" borderId="9" xfId="0" applyNumberFormat="1" applyFont="1" applyBorder="1" applyAlignment="1">
      <alignment horizontal="right" vertical="center" wrapText="1"/>
    </xf>
    <xf numFmtId="41" fontId="94" fillId="0" borderId="3" xfId="0" applyNumberFormat="1" applyFont="1" applyBorder="1" applyAlignment="1">
      <alignment horizontal="right" vertical="center" wrapText="1"/>
    </xf>
    <xf numFmtId="41" fontId="85" fillId="0" borderId="28" xfId="0" applyNumberFormat="1" applyFont="1" applyBorder="1" applyAlignment="1">
      <alignment horizontal="right" vertical="center" wrapText="1"/>
    </xf>
    <xf numFmtId="41" fontId="84" fillId="0" borderId="21" xfId="0" applyNumberFormat="1" applyFont="1" applyBorder="1" applyAlignment="1">
      <alignment horizontal="right" vertical="center" wrapText="1"/>
    </xf>
    <xf numFmtId="41" fontId="84" fillId="0" borderId="22" xfId="0" applyNumberFormat="1" applyFont="1" applyBorder="1" applyAlignment="1">
      <alignment horizontal="right" vertical="center" wrapText="1"/>
    </xf>
    <xf numFmtId="41" fontId="93" fillId="0" borderId="26" xfId="0" applyNumberFormat="1" applyFont="1" applyBorder="1" applyAlignment="1">
      <alignment horizontal="right" vertical="center" wrapText="1"/>
    </xf>
    <xf numFmtId="41" fontId="92" fillId="0" borderId="8" xfId="0" applyNumberFormat="1" applyFont="1" applyBorder="1" applyAlignment="1">
      <alignment horizontal="right" vertical="center" wrapText="1"/>
    </xf>
    <xf numFmtId="41" fontId="93" fillId="0" borderId="7" xfId="0" applyNumberFormat="1" applyFont="1" applyBorder="1" applyAlignment="1">
      <alignment horizontal="right" vertical="center" wrapText="1"/>
    </xf>
    <xf numFmtId="41" fontId="85" fillId="0" borderId="49" xfId="0" applyNumberFormat="1" applyFont="1" applyBorder="1" applyAlignment="1">
      <alignment horizontal="right" vertical="center" wrapText="1"/>
    </xf>
    <xf numFmtId="41" fontId="67" fillId="0" borderId="73" xfId="0" applyNumberFormat="1" applyFont="1" applyBorder="1" applyAlignment="1">
      <alignment horizontal="right" vertical="center" wrapText="1" indent="1"/>
    </xf>
    <xf numFmtId="41" fontId="67" fillId="0" borderId="8" xfId="0" applyNumberFormat="1" applyFont="1" applyBorder="1" applyAlignment="1">
      <alignment horizontal="right" vertical="center" wrapText="1" indent="1"/>
    </xf>
    <xf numFmtId="41" fontId="68" fillId="0" borderId="2" xfId="0" applyNumberFormat="1" applyFont="1" applyBorder="1" applyAlignment="1">
      <alignment horizontal="right" vertical="center" wrapText="1"/>
    </xf>
    <xf numFmtId="41" fontId="68" fillId="0" borderId="3" xfId="0" applyNumberFormat="1" applyFont="1" applyBorder="1" applyAlignment="1">
      <alignment horizontal="right" vertical="center" wrapText="1"/>
    </xf>
    <xf numFmtId="41" fontId="68" fillId="0" borderId="0" xfId="0" applyNumberFormat="1" applyFont="1" applyAlignment="1">
      <alignment horizontal="right" vertical="center" wrapText="1"/>
    </xf>
    <xf numFmtId="41" fontId="67" fillId="0" borderId="26" xfId="0" applyNumberFormat="1" applyFont="1" applyBorder="1" applyAlignment="1">
      <alignment horizontal="right" vertical="center" wrapText="1" indent="1"/>
    </xf>
    <xf numFmtId="41" fontId="67" fillId="0" borderId="3" xfId="0" applyNumberFormat="1" applyFont="1" applyBorder="1" applyAlignment="1">
      <alignment horizontal="right" vertical="center" wrapText="1" indent="1"/>
    </xf>
    <xf numFmtId="41" fontId="65" fillId="0" borderId="26" xfId="0" applyNumberFormat="1" applyFont="1" applyBorder="1" applyAlignment="1">
      <alignment horizontal="right" vertical="center" wrapText="1" indent="1"/>
    </xf>
    <xf numFmtId="41" fontId="65" fillId="0" borderId="3" xfId="0" applyNumberFormat="1" applyFont="1" applyBorder="1" applyAlignment="1">
      <alignment horizontal="right" vertical="center" wrapText="1" indent="1"/>
    </xf>
    <xf numFmtId="41" fontId="66" fillId="0" borderId="2" xfId="0" applyNumberFormat="1" applyFont="1" applyBorder="1" applyAlignment="1">
      <alignment horizontal="right" vertical="center" wrapText="1"/>
    </xf>
    <xf numFmtId="41" fontId="66" fillId="0" borderId="3" xfId="0" applyNumberFormat="1" applyFont="1" applyBorder="1" applyAlignment="1">
      <alignment horizontal="right" vertical="center" wrapText="1"/>
    </xf>
    <xf numFmtId="41" fontId="67" fillId="0" borderId="33" xfId="0" applyNumberFormat="1" applyFont="1" applyBorder="1" applyAlignment="1">
      <alignment horizontal="right" vertical="center" wrapText="1" indent="1"/>
    </xf>
    <xf numFmtId="41" fontId="67" fillId="0" borderId="19" xfId="0" applyNumberFormat="1" applyFont="1" applyBorder="1" applyAlignment="1">
      <alignment horizontal="right" vertical="center" wrapText="1"/>
    </xf>
    <xf numFmtId="41" fontId="67" fillId="0" borderId="47" xfId="0" applyNumberFormat="1" applyFont="1" applyBorder="1" applyAlignment="1">
      <alignment horizontal="right" vertical="center" wrapText="1" indent="1"/>
    </xf>
    <xf numFmtId="41" fontId="65" fillId="0" borderId="76" xfId="0" applyNumberFormat="1" applyFont="1" applyBorder="1" applyAlignment="1">
      <alignment horizontal="right" vertical="center" wrapText="1" indent="1"/>
    </xf>
    <xf numFmtId="41" fontId="65" fillId="0" borderId="23" xfId="0" applyNumberFormat="1" applyFont="1" applyBorder="1" applyAlignment="1">
      <alignment horizontal="right" vertical="center" wrapText="1" indent="1"/>
    </xf>
    <xf numFmtId="41" fontId="68" fillId="0" borderId="26" xfId="0" applyNumberFormat="1" applyFont="1" applyBorder="1" applyAlignment="1">
      <alignment horizontal="right" vertical="center" wrapText="1"/>
    </xf>
    <xf numFmtId="41" fontId="66" fillId="0" borderId="26" xfId="0" applyNumberFormat="1" applyFont="1" applyBorder="1" applyAlignment="1">
      <alignment horizontal="right" vertical="center" wrapText="1"/>
    </xf>
    <xf numFmtId="41" fontId="91" fillId="0" borderId="2" xfId="0" applyNumberFormat="1" applyFont="1" applyBorder="1" applyAlignment="1">
      <alignment horizontal="right" vertical="center" wrapText="1"/>
    </xf>
    <xf numFmtId="41" fontId="91" fillId="0" borderId="3" xfId="0" applyNumberFormat="1" applyFont="1" applyBorder="1" applyAlignment="1">
      <alignment horizontal="right" vertical="center" wrapText="1"/>
    </xf>
    <xf numFmtId="41" fontId="82" fillId="0" borderId="2" xfId="0" applyNumberFormat="1" applyFont="1" applyBorder="1" applyAlignment="1">
      <alignment horizontal="right" vertical="center" wrapText="1"/>
    </xf>
    <xf numFmtId="41" fontId="82" fillId="0" borderId="3" xfId="0" applyNumberFormat="1" applyFont="1" applyBorder="1" applyAlignment="1">
      <alignment horizontal="right" vertical="center" wrapText="1"/>
    </xf>
    <xf numFmtId="41" fontId="65" fillId="0" borderId="49" xfId="0" applyNumberFormat="1" applyFont="1" applyBorder="1" applyAlignment="1">
      <alignment horizontal="right" vertical="center" wrapText="1" indent="1"/>
    </xf>
    <xf numFmtId="41" fontId="70" fillId="0" borderId="0" xfId="0" applyNumberFormat="1" applyFont="1" applyAlignment="1">
      <alignment horizontal="right" vertical="center" wrapText="1"/>
    </xf>
    <xf numFmtId="41" fontId="75" fillId="0" borderId="0" xfId="0" applyNumberFormat="1" applyFont="1" applyAlignment="1">
      <alignment horizontal="right" vertical="center" wrapText="1"/>
    </xf>
    <xf numFmtId="41" fontId="65" fillId="0" borderId="73" xfId="0" applyNumberFormat="1" applyFont="1" applyBorder="1" applyAlignment="1">
      <alignment horizontal="right" vertical="center" wrapText="1" indent="1"/>
    </xf>
    <xf numFmtId="41" fontId="68" fillId="0" borderId="32" xfId="0" applyNumberFormat="1" applyFont="1" applyBorder="1" applyAlignment="1">
      <alignment horizontal="right" vertical="center" wrapText="1"/>
    </xf>
    <xf numFmtId="41" fontId="66" fillId="0" borderId="33" xfId="0" applyNumberFormat="1" applyFont="1" applyBorder="1" applyAlignment="1">
      <alignment horizontal="right" vertical="center" wrapText="1"/>
    </xf>
    <xf numFmtId="41" fontId="66" fillId="0" borderId="32" xfId="0" applyNumberFormat="1" applyFont="1" applyBorder="1" applyAlignment="1">
      <alignment horizontal="right" vertical="center" wrapText="1"/>
    </xf>
    <xf numFmtId="41" fontId="67" fillId="0" borderId="73" xfId="0" applyNumberFormat="1" applyFont="1" applyBorder="1" applyAlignment="1">
      <alignment horizontal="right" vertical="center" wrapText="1"/>
    </xf>
    <xf numFmtId="41" fontId="67" fillId="0" borderId="8" xfId="0" applyNumberFormat="1" applyFont="1" applyBorder="1" applyAlignment="1">
      <alignment horizontal="right" vertical="center" wrapText="1"/>
    </xf>
    <xf numFmtId="41" fontId="67" fillId="0" borderId="26" xfId="0" applyNumberFormat="1" applyFont="1" applyBorder="1" applyAlignment="1">
      <alignment horizontal="right" vertical="center" wrapText="1"/>
    </xf>
    <xf numFmtId="41" fontId="67" fillId="0" borderId="3" xfId="0" applyNumberFormat="1" applyFont="1" applyBorder="1" applyAlignment="1">
      <alignment horizontal="right" vertical="center" wrapText="1"/>
    </xf>
    <xf numFmtId="41" fontId="65" fillId="0" borderId="26" xfId="0" applyNumberFormat="1" applyFont="1" applyBorder="1" applyAlignment="1">
      <alignment horizontal="right" vertical="center" wrapText="1"/>
    </xf>
    <xf numFmtId="41" fontId="65" fillId="0" borderId="3" xfId="0" applyNumberFormat="1" applyFont="1" applyBorder="1" applyAlignment="1">
      <alignment horizontal="right" vertical="center" wrapText="1"/>
    </xf>
    <xf numFmtId="41" fontId="67" fillId="0" borderId="33" xfId="0" applyNumberFormat="1" applyFont="1" applyBorder="1" applyAlignment="1">
      <alignment horizontal="right" vertical="center" wrapText="1"/>
    </xf>
    <xf numFmtId="41" fontId="67" fillId="0" borderId="47" xfId="0" applyNumberFormat="1" applyFont="1" applyBorder="1" applyAlignment="1">
      <alignment horizontal="right" vertical="center" wrapText="1"/>
    </xf>
    <xf numFmtId="41" fontId="65" fillId="9" borderId="80" xfId="50" applyNumberFormat="1" applyFont="1" applyFill="1" applyBorder="1" applyAlignment="1">
      <alignment horizontal="right" vertical="center" wrapText="1" indent="1"/>
    </xf>
    <xf numFmtId="41" fontId="65" fillId="9" borderId="16" xfId="50" applyNumberFormat="1" applyFont="1" applyFill="1" applyBorder="1" applyAlignment="1">
      <alignment horizontal="right" vertical="center" wrapText="1" indent="1"/>
    </xf>
    <xf numFmtId="41" fontId="65" fillId="9" borderId="76" xfId="50" applyNumberFormat="1" applyFont="1" applyFill="1" applyBorder="1" applyAlignment="1">
      <alignment horizontal="right" vertical="center" wrapText="1" indent="1"/>
    </xf>
    <xf numFmtId="41" fontId="65" fillId="9" borderId="23" xfId="50" applyNumberFormat="1" applyFont="1" applyFill="1" applyBorder="1" applyAlignment="1">
      <alignment horizontal="right" vertical="center" wrapText="1" indent="1"/>
    </xf>
    <xf numFmtId="41" fontId="66" fillId="0" borderId="32" xfId="0" applyNumberFormat="1" applyFont="1" applyFill="1" applyBorder="1" applyAlignment="1">
      <alignment horizontal="right" vertical="center" wrapText="1"/>
    </xf>
    <xf numFmtId="41" fontId="66" fillId="0" borderId="33" xfId="0" applyNumberFormat="1" applyFont="1" applyFill="1" applyBorder="1" applyAlignment="1">
      <alignment horizontal="right" vertical="center" wrapText="1"/>
    </xf>
    <xf numFmtId="41" fontId="85" fillId="0" borderId="9" xfId="0" applyNumberFormat="1" applyFont="1" applyBorder="1" applyAlignment="1">
      <alignment horizontal="left" vertical="center" wrapText="1"/>
    </xf>
    <xf numFmtId="41" fontId="92" fillId="0" borderId="9" xfId="0" applyNumberFormat="1" applyFont="1" applyBorder="1" applyAlignment="1">
      <alignment horizontal="left" vertical="center" wrapText="1"/>
    </xf>
    <xf numFmtId="41" fontId="93" fillId="8" borderId="26" xfId="6" applyNumberFormat="1" applyFont="1" applyFill="1" applyBorder="1" applyAlignment="1">
      <alignment vertical="center" wrapText="1"/>
    </xf>
    <xf numFmtId="41" fontId="92" fillId="0" borderId="19" xfId="0" applyNumberFormat="1" applyFont="1" applyBorder="1" applyAlignment="1">
      <alignment horizontal="left" vertical="center" wrapText="1"/>
    </xf>
    <xf numFmtId="41" fontId="93" fillId="3" borderId="16" xfId="6" applyNumberFormat="1" applyFont="1" applyFill="1" applyBorder="1" applyAlignment="1">
      <alignment vertical="center" wrapText="1"/>
    </xf>
    <xf numFmtId="41" fontId="93" fillId="8" borderId="73" xfId="6" applyNumberFormat="1" applyFont="1" applyFill="1" applyBorder="1" applyAlignment="1">
      <alignment vertical="center" wrapText="1"/>
    </xf>
    <xf numFmtId="41" fontId="92" fillId="0" borderId="21" xfId="0" applyNumberFormat="1" applyFont="1" applyBorder="1" applyAlignment="1">
      <alignment horizontal="left" vertical="center" wrapText="1"/>
    </xf>
    <xf numFmtId="41" fontId="93" fillId="8" borderId="72" xfId="6" applyNumberFormat="1" applyFont="1" applyFill="1" applyBorder="1" applyAlignment="1">
      <alignment vertical="center" wrapText="1"/>
    </xf>
    <xf numFmtId="41" fontId="85" fillId="0" borderId="7" xfId="0" applyNumberFormat="1" applyFont="1" applyBorder="1" applyAlignment="1">
      <alignment horizontal="left" vertical="center" wrapText="1"/>
    </xf>
    <xf numFmtId="41" fontId="85" fillId="0" borderId="19" xfId="0" applyNumberFormat="1" applyFont="1" applyBorder="1" applyAlignment="1">
      <alignment horizontal="left" vertical="center" wrapText="1"/>
    </xf>
    <xf numFmtId="41" fontId="92" fillId="9" borderId="16" xfId="0" applyNumberFormat="1" applyFont="1" applyFill="1" applyBorder="1" applyAlignment="1">
      <alignment horizontal="left" vertical="center" wrapText="1"/>
    </xf>
    <xf numFmtId="41" fontId="84" fillId="0" borderId="34" xfId="6" applyNumberFormat="1" applyFont="1" applyBorder="1" applyAlignment="1">
      <alignment horizontal="center" vertical="center" wrapText="1"/>
    </xf>
    <xf numFmtId="41" fontId="84" fillId="0" borderId="9" xfId="1" applyNumberFormat="1" applyFont="1" applyBorder="1" applyAlignment="1">
      <alignment horizontal="right" vertical="center" wrapText="1"/>
    </xf>
    <xf numFmtId="41" fontId="84" fillId="0" borderId="3" xfId="1" applyNumberFormat="1" applyFont="1" applyBorder="1" applyAlignment="1">
      <alignment horizontal="right" vertical="center" wrapText="1"/>
    </xf>
    <xf numFmtId="41" fontId="93" fillId="0" borderId="34" xfId="6" applyNumberFormat="1" applyFont="1" applyBorder="1" applyAlignment="1">
      <alignment horizontal="center" vertical="center" wrapText="1"/>
    </xf>
    <xf numFmtId="41" fontId="93" fillId="0" borderId="9" xfId="1" applyNumberFormat="1" applyFont="1" applyBorder="1" applyAlignment="1">
      <alignment horizontal="right" vertical="center" wrapText="1"/>
    </xf>
    <xf numFmtId="41" fontId="93" fillId="0" borderId="3" xfId="1" applyNumberFormat="1" applyFont="1" applyBorder="1" applyAlignment="1">
      <alignment horizontal="right" vertical="center" wrapText="1"/>
    </xf>
    <xf numFmtId="41" fontId="84" fillId="8" borderId="34" xfId="6" applyNumberFormat="1" applyFont="1" applyFill="1" applyBorder="1" applyAlignment="1">
      <alignment horizontal="center" vertical="center" wrapText="1"/>
    </xf>
    <xf numFmtId="41" fontId="93" fillId="0" borderId="5" xfId="6" applyNumberFormat="1" applyFont="1" applyBorder="1" applyAlignment="1">
      <alignment horizontal="center" vertical="center" wrapText="1"/>
    </xf>
    <xf numFmtId="41" fontId="93" fillId="0" borderId="19" xfId="1" applyNumberFormat="1" applyFont="1" applyBorder="1" applyAlignment="1">
      <alignment horizontal="right" vertical="center" wrapText="1"/>
    </xf>
    <xf numFmtId="41" fontId="93" fillId="0" borderId="47" xfId="1" applyNumberFormat="1" applyFont="1" applyBorder="1" applyAlignment="1">
      <alignment horizontal="right" vertical="center" wrapText="1"/>
    </xf>
    <xf numFmtId="41" fontId="92" fillId="3" borderId="25" xfId="6" applyNumberFormat="1" applyFont="1" applyFill="1" applyBorder="1" applyAlignment="1">
      <alignment horizontal="center" vertical="center" wrapText="1"/>
    </xf>
    <xf numFmtId="41" fontId="84" fillId="8" borderId="1" xfId="6" applyNumberFormat="1" applyFont="1" applyFill="1" applyBorder="1" applyAlignment="1">
      <alignment horizontal="center" vertical="center" wrapText="1"/>
    </xf>
    <xf numFmtId="41" fontId="85" fillId="0" borderId="9" xfId="1" applyNumberFormat="1" applyFont="1" applyBorder="1" applyAlignment="1">
      <alignment horizontal="right" vertical="center" wrapText="1"/>
    </xf>
    <xf numFmtId="41" fontId="85" fillId="0" borderId="3" xfId="1" applyNumberFormat="1" applyFont="1" applyBorder="1" applyAlignment="1">
      <alignment horizontal="right" vertical="center" wrapText="1"/>
    </xf>
    <xf numFmtId="41" fontId="93" fillId="0" borderId="36" xfId="6" applyNumberFormat="1" applyFont="1" applyBorder="1" applyAlignment="1">
      <alignment horizontal="center" vertical="center" wrapText="1"/>
    </xf>
    <xf numFmtId="41" fontId="93" fillId="0" borderId="21" xfId="1" applyNumberFormat="1" applyFont="1" applyBorder="1" applyAlignment="1">
      <alignment horizontal="right" vertical="center" wrapText="1"/>
    </xf>
    <xf numFmtId="41" fontId="93" fillId="0" borderId="22" xfId="1" applyNumberFormat="1" applyFont="1" applyBorder="1" applyAlignment="1">
      <alignment horizontal="right" vertical="center" wrapText="1"/>
    </xf>
    <xf numFmtId="41" fontId="84" fillId="25" borderId="9" xfId="1" applyNumberFormat="1" applyFont="1" applyFill="1" applyBorder="1" applyAlignment="1">
      <alignment horizontal="right" vertical="center" wrapText="1"/>
    </xf>
    <xf numFmtId="41" fontId="84" fillId="25" borderId="3" xfId="1" applyNumberFormat="1" applyFont="1" applyFill="1" applyBorder="1" applyAlignment="1">
      <alignment horizontal="right" vertical="center" wrapText="1"/>
    </xf>
    <xf numFmtId="41" fontId="93" fillId="25" borderId="9" xfId="1" applyNumberFormat="1" applyFont="1" applyFill="1" applyBorder="1" applyAlignment="1">
      <alignment horizontal="right" vertical="center" wrapText="1"/>
    </xf>
    <xf numFmtId="41" fontId="93" fillId="25" borderId="3" xfId="1" applyNumberFormat="1" applyFont="1" applyFill="1" applyBorder="1" applyAlignment="1">
      <alignment horizontal="right" vertical="center" wrapText="1"/>
    </xf>
    <xf numFmtId="41" fontId="84" fillId="8" borderId="46" xfId="6" applyNumberFormat="1" applyFont="1" applyFill="1" applyBorder="1" applyAlignment="1">
      <alignment horizontal="center" vertical="center" wrapText="1"/>
    </xf>
    <xf numFmtId="41" fontId="84" fillId="0" borderId="3" xfId="6" applyNumberFormat="1" applyFont="1" applyBorder="1" applyAlignment="1">
      <alignment horizontal="right" vertical="center" wrapText="1"/>
    </xf>
    <xf numFmtId="41" fontId="93" fillId="25" borderId="19" xfId="1" applyNumberFormat="1" applyFont="1" applyFill="1" applyBorder="1" applyAlignment="1">
      <alignment horizontal="right" vertical="center" wrapText="1"/>
    </xf>
    <xf numFmtId="41" fontId="93" fillId="25" borderId="47" xfId="1" applyNumberFormat="1" applyFont="1" applyFill="1" applyBorder="1" applyAlignment="1">
      <alignment horizontal="right" vertical="center" wrapText="1"/>
    </xf>
    <xf numFmtId="41" fontId="84" fillId="8" borderId="1" xfId="0" applyNumberFormat="1" applyFont="1" applyFill="1" applyBorder="1" applyAlignment="1">
      <alignment horizontal="center" vertical="center" wrapText="1"/>
    </xf>
    <xf numFmtId="41" fontId="84" fillId="0" borderId="34" xfId="0" applyNumberFormat="1" applyFont="1" applyBorder="1" applyAlignment="1">
      <alignment horizontal="center" vertical="center" wrapText="1"/>
    </xf>
    <xf numFmtId="41" fontId="93" fillId="0" borderId="5" xfId="0" applyNumberFormat="1" applyFont="1" applyBorder="1" applyAlignment="1">
      <alignment horizontal="center" vertical="center" wrapText="1"/>
    </xf>
    <xf numFmtId="41" fontId="84" fillId="0" borderId="34" xfId="6" applyNumberFormat="1" applyFont="1" applyFill="1" applyBorder="1" applyAlignment="1">
      <alignment horizontal="center" vertical="center" wrapText="1"/>
    </xf>
    <xf numFmtId="41" fontId="93" fillId="0" borderId="34" xfId="6" applyNumberFormat="1" applyFont="1" applyFill="1" applyBorder="1" applyAlignment="1">
      <alignment horizontal="center" vertical="center" wrapText="1"/>
    </xf>
    <xf numFmtId="41" fontId="93" fillId="0" borderId="36" xfId="6" applyNumberFormat="1" applyFont="1" applyFill="1" applyBorder="1" applyAlignment="1">
      <alignment horizontal="center" vertical="center" wrapText="1"/>
    </xf>
    <xf numFmtId="41" fontId="93" fillId="25" borderId="21" xfId="1" applyNumberFormat="1" applyFont="1" applyFill="1" applyBorder="1" applyAlignment="1">
      <alignment horizontal="right" vertical="center" wrapText="1"/>
    </xf>
    <xf numFmtId="41" fontId="93" fillId="25" borderId="22" xfId="1" applyNumberFormat="1" applyFont="1" applyFill="1" applyBorder="1" applyAlignment="1">
      <alignment horizontal="right" vertical="center" wrapText="1"/>
    </xf>
    <xf numFmtId="41" fontId="84" fillId="0" borderId="1" xfId="6" applyNumberFormat="1" applyFont="1" applyBorder="1" applyAlignment="1">
      <alignment horizontal="center" vertical="center" wrapText="1"/>
    </xf>
    <xf numFmtId="41" fontId="85" fillId="0" borderId="7" xfId="1" applyNumberFormat="1" applyFont="1" applyBorder="1" applyAlignment="1">
      <alignment horizontal="right" vertical="center" wrapText="1"/>
    </xf>
    <xf numFmtId="41" fontId="85" fillId="0" borderId="8" xfId="1" applyNumberFormat="1" applyFont="1" applyBorder="1" applyAlignment="1">
      <alignment horizontal="right" vertical="center" wrapText="1"/>
    </xf>
    <xf numFmtId="41" fontId="84" fillId="0" borderId="5" xfId="6" applyNumberFormat="1" applyFont="1" applyBorder="1" applyAlignment="1">
      <alignment horizontal="center" vertical="center" wrapText="1"/>
    </xf>
    <xf numFmtId="41" fontId="85" fillId="0" borderId="19" xfId="1" applyNumberFormat="1" applyFont="1" applyBorder="1" applyAlignment="1">
      <alignment horizontal="right" vertical="center" wrapText="1"/>
    </xf>
    <xf numFmtId="41" fontId="85" fillId="0" borderId="47" xfId="1" applyNumberFormat="1" applyFont="1" applyBorder="1" applyAlignment="1">
      <alignment horizontal="right" vertical="center" wrapText="1"/>
    </xf>
    <xf numFmtId="41" fontId="92" fillId="0" borderId="16" xfId="1" applyNumberFormat="1" applyFont="1" applyBorder="1" applyAlignment="1">
      <alignment horizontal="right" vertical="center" wrapText="1"/>
    </xf>
    <xf numFmtId="41" fontId="92" fillId="0" borderId="23" xfId="1" applyNumberFormat="1" applyFont="1" applyBorder="1" applyAlignment="1">
      <alignment horizontal="right" vertical="center" wrapText="1"/>
    </xf>
    <xf numFmtId="41" fontId="92" fillId="0" borderId="9" xfId="1" applyNumberFormat="1" applyFont="1" applyBorder="1" applyAlignment="1">
      <alignment horizontal="right" vertical="center" wrapText="1"/>
    </xf>
    <xf numFmtId="41" fontId="92" fillId="0" borderId="3" xfId="1" applyNumberFormat="1" applyFont="1" applyBorder="1" applyAlignment="1">
      <alignment horizontal="right" vertical="center" wrapText="1"/>
    </xf>
    <xf numFmtId="41" fontId="84" fillId="9" borderId="25" xfId="6" applyNumberFormat="1" applyFont="1" applyFill="1" applyBorder="1" applyAlignment="1">
      <alignment horizontal="center" vertical="center" wrapText="1"/>
    </xf>
    <xf numFmtId="41" fontId="93" fillId="9" borderId="16" xfId="1" applyNumberFormat="1" applyFont="1" applyFill="1" applyBorder="1" applyAlignment="1">
      <alignment horizontal="right" vertical="center" wrapText="1"/>
    </xf>
    <xf numFmtId="41" fontId="84" fillId="9" borderId="23" xfId="6" applyNumberFormat="1" applyFont="1" applyFill="1" applyBorder="1" applyAlignment="1">
      <alignment horizontal="right" vertical="center" wrapText="1"/>
    </xf>
    <xf numFmtId="41" fontId="93" fillId="8" borderId="80" xfId="0" applyNumberFormat="1" applyFont="1" applyFill="1" applyBorder="1" applyAlignment="1">
      <alignment horizontal="center" vertical="center" wrapText="1"/>
    </xf>
    <xf numFmtId="41" fontId="93" fillId="8" borderId="35" xfId="0" applyNumberFormat="1" applyFont="1" applyFill="1" applyBorder="1" applyAlignment="1">
      <alignment horizontal="center" vertical="center" wrapText="1"/>
    </xf>
    <xf numFmtId="41" fontId="85" fillId="0" borderId="7" xfId="0" applyNumberFormat="1" applyFont="1" applyBorder="1" applyAlignment="1">
      <alignment vertical="center" wrapText="1"/>
    </xf>
    <xf numFmtId="41" fontId="85" fillId="0" borderId="7" xfId="0" applyNumberFormat="1" applyFont="1" applyFill="1" applyBorder="1" applyAlignment="1">
      <alignment horizontal="left" vertical="center" wrapText="1"/>
    </xf>
    <xf numFmtId="41" fontId="85" fillId="0" borderId="9" xfId="0" applyNumberFormat="1" applyFont="1" applyFill="1" applyBorder="1" applyAlignment="1">
      <alignment horizontal="left" vertical="center" wrapText="1"/>
    </xf>
    <xf numFmtId="41" fontId="92" fillId="0" borderId="27" xfId="0" applyNumberFormat="1" applyFont="1" applyFill="1" applyBorder="1" applyAlignment="1">
      <alignment horizontal="left" vertical="center" wrapText="1"/>
    </xf>
    <xf numFmtId="41" fontId="67" fillId="0" borderId="0" xfId="0" applyNumberFormat="1" applyFont="1" applyAlignment="1">
      <alignment vertical="center" wrapText="1"/>
    </xf>
    <xf numFmtId="41" fontId="92" fillId="8" borderId="6" xfId="0" applyNumberFormat="1" applyFont="1" applyFill="1" applyBorder="1" applyAlignment="1">
      <alignment horizontal="left" vertical="center" wrapText="1"/>
    </xf>
    <xf numFmtId="41" fontId="92" fillId="8" borderId="16" xfId="0" applyNumberFormat="1" applyFont="1" applyFill="1" applyBorder="1" applyAlignment="1">
      <alignment horizontal="right" vertical="center" wrapText="1"/>
    </xf>
    <xf numFmtId="41" fontId="92" fillId="8" borderId="23" xfId="0" applyNumberFormat="1" applyFont="1" applyFill="1" applyBorder="1" applyAlignment="1">
      <alignment horizontal="right" vertical="center" wrapText="1"/>
    </xf>
    <xf numFmtId="41" fontId="92" fillId="3" borderId="6" xfId="0" applyNumberFormat="1" applyFont="1" applyFill="1" applyBorder="1" applyAlignment="1">
      <alignment vertical="center" wrapText="1"/>
    </xf>
    <xf numFmtId="41" fontId="85" fillId="0" borderId="0" xfId="0" applyNumberFormat="1" applyFont="1"/>
    <xf numFmtId="41" fontId="54" fillId="0" borderId="7" xfId="0" applyNumberFormat="1" applyFont="1" applyBorder="1" applyAlignment="1">
      <alignment vertical="center" wrapText="1"/>
    </xf>
    <xf numFmtId="41" fontId="54" fillId="0" borderId="9" xfId="0" applyNumberFormat="1" applyFont="1" applyBorder="1" applyAlignment="1">
      <alignment vertical="center" wrapText="1"/>
    </xf>
    <xf numFmtId="41" fontId="54" fillId="25" borderId="7" xfId="0" applyNumberFormat="1" applyFont="1" applyFill="1" applyBorder="1" applyAlignment="1">
      <alignment horizontal="right" vertical="center"/>
    </xf>
    <xf numFmtId="41" fontId="54" fillId="25" borderId="9" xfId="0" applyNumberFormat="1" applyFont="1" applyFill="1" applyBorder="1" applyAlignment="1">
      <alignment horizontal="right" vertical="center"/>
    </xf>
    <xf numFmtId="41" fontId="54" fillId="0" borderId="9" xfId="6" applyNumberFormat="1" applyFont="1" applyBorder="1" applyAlignment="1">
      <alignment horizontal="center" vertical="center"/>
    </xf>
    <xf numFmtId="41" fontId="54" fillId="0" borderId="3" xfId="6" applyNumberFormat="1" applyFont="1" applyBorder="1" applyAlignment="1">
      <alignment vertical="center"/>
    </xf>
    <xf numFmtId="41" fontId="54" fillId="0" borderId="9" xfId="6" applyNumberFormat="1" applyFont="1" applyBorder="1" applyAlignment="1">
      <alignment vertical="center"/>
    </xf>
    <xf numFmtId="41" fontId="54" fillId="0" borderId="7" xfId="0" applyNumberFormat="1" applyFont="1" applyFill="1" applyBorder="1" applyAlignment="1" applyProtection="1">
      <alignment horizontal="right" vertical="center"/>
      <protection locked="0"/>
    </xf>
    <xf numFmtId="41" fontId="54" fillId="0" borderId="50" xfId="0" applyNumberFormat="1" applyFont="1" applyBorder="1" applyAlignment="1">
      <alignment horizontal="right" vertical="center"/>
    </xf>
    <xf numFmtId="41" fontId="54" fillId="0" borderId="7" xfId="0" applyNumberFormat="1" applyFont="1" applyBorder="1" applyAlignment="1">
      <alignment horizontal="right" vertical="center"/>
    </xf>
    <xf numFmtId="41" fontId="54" fillId="0" borderId="73" xfId="0" applyNumberFormat="1" applyFont="1" applyBorder="1" applyAlignment="1">
      <alignment horizontal="right" vertical="center"/>
    </xf>
    <xf numFmtId="0" fontId="29" fillId="0" borderId="6" xfId="0" applyFont="1" applyBorder="1" applyAlignment="1">
      <alignment horizontal="center" vertical="center" wrapText="1"/>
    </xf>
    <xf numFmtId="41" fontId="65" fillId="0" borderId="80" xfId="0" applyNumberFormat="1" applyFont="1" applyBorder="1" applyAlignment="1">
      <alignment horizontal="center" vertical="center" wrapText="1"/>
    </xf>
    <xf numFmtId="0" fontId="67" fillId="0" borderId="34" xfId="0" applyFont="1" applyBorder="1" applyAlignment="1">
      <alignment horizontal="left" vertical="center" wrapText="1"/>
    </xf>
    <xf numFmtId="0" fontId="67" fillId="0" borderId="30" xfId="4" applyFont="1" applyFill="1" applyBorder="1" applyAlignment="1">
      <alignment vertical="center"/>
    </xf>
    <xf numFmtId="0" fontId="67" fillId="0" borderId="5" xfId="4" applyFont="1" applyBorder="1" applyAlignment="1">
      <alignment horizontal="left" vertical="center" wrapText="1"/>
    </xf>
    <xf numFmtId="41" fontId="67" fillId="0" borderId="9" xfId="4" applyNumberFormat="1" applyFont="1" applyBorder="1" applyAlignment="1">
      <alignment horizontal="right" vertical="center" wrapText="1"/>
    </xf>
    <xf numFmtId="41" fontId="67" fillId="0" borderId="9" xfId="4" applyNumberFormat="1" applyFont="1" applyFill="1" applyBorder="1" applyAlignment="1">
      <alignment horizontal="right" vertical="center" wrapText="1"/>
    </xf>
    <xf numFmtId="41" fontId="65" fillId="0" borderId="9" xfId="4" applyNumberFormat="1" applyFont="1" applyFill="1" applyBorder="1" applyAlignment="1">
      <alignment horizontal="right" vertical="center" wrapText="1"/>
    </xf>
    <xf numFmtId="41" fontId="67" fillId="0" borderId="19" xfId="4" applyNumberFormat="1" applyFont="1" applyBorder="1" applyAlignment="1">
      <alignment horizontal="right" vertical="center" wrapText="1"/>
    </xf>
    <xf numFmtId="41" fontId="65" fillId="4" borderId="16" xfId="4" applyNumberFormat="1" applyFont="1" applyFill="1" applyBorder="1" applyAlignment="1">
      <alignment horizontal="right" vertical="center" wrapText="1"/>
    </xf>
    <xf numFmtId="41" fontId="65" fillId="4" borderId="76" xfId="4" applyNumberFormat="1" applyFont="1" applyFill="1" applyBorder="1" applyAlignment="1">
      <alignment horizontal="right" vertical="center" wrapText="1"/>
    </xf>
    <xf numFmtId="41" fontId="65" fillId="3" borderId="7" xfId="4" applyNumberFormat="1" applyFont="1" applyFill="1" applyBorder="1" applyAlignment="1">
      <alignment horizontal="right" vertical="center" wrapText="1"/>
    </xf>
    <xf numFmtId="41" fontId="68" fillId="0" borderId="9" xfId="1" applyNumberFormat="1" applyFont="1" applyBorder="1" applyAlignment="1">
      <alignment horizontal="right" vertical="center" wrapText="1"/>
    </xf>
    <xf numFmtId="41" fontId="67" fillId="0" borderId="49" xfId="4" applyNumberFormat="1" applyFont="1" applyBorder="1" applyAlignment="1">
      <alignment horizontal="right" vertical="center" wrapText="1"/>
    </xf>
    <xf numFmtId="41" fontId="67" fillId="0" borderId="9" xfId="1" applyNumberFormat="1" applyFont="1" applyFill="1" applyBorder="1" applyAlignment="1">
      <alignment horizontal="right" vertical="center" wrapText="1"/>
    </xf>
    <xf numFmtId="41" fontId="65" fillId="3" borderId="9" xfId="4" applyNumberFormat="1" applyFont="1" applyFill="1" applyBorder="1" applyAlignment="1">
      <alignment horizontal="right" vertical="center" wrapText="1"/>
    </xf>
    <xf numFmtId="41" fontId="65" fillId="0" borderId="9" xfId="4" applyNumberFormat="1" applyFont="1" applyBorder="1" applyAlignment="1">
      <alignment horizontal="right" vertical="center" wrapText="1"/>
    </xf>
    <xf numFmtId="41" fontId="67" fillId="0" borderId="2" xfId="1" applyNumberFormat="1" applyFont="1" applyBorder="1" applyAlignment="1">
      <alignment horizontal="right" vertical="center" wrapText="1"/>
    </xf>
    <xf numFmtId="41" fontId="65" fillId="9" borderId="9" xfId="4" applyNumberFormat="1" applyFont="1" applyFill="1" applyBorder="1" applyAlignment="1">
      <alignment horizontal="right" vertical="center" wrapText="1"/>
    </xf>
    <xf numFmtId="41" fontId="67" fillId="0" borderId="32" xfId="1" applyNumberFormat="1" applyFont="1" applyBorder="1" applyAlignment="1">
      <alignment horizontal="right" vertical="center" wrapText="1"/>
    </xf>
    <xf numFmtId="41" fontId="65" fillId="9" borderId="80" xfId="4" applyNumberFormat="1" applyFont="1" applyFill="1" applyBorder="1" applyAlignment="1">
      <alignment horizontal="right" vertical="center" wrapText="1"/>
    </xf>
    <xf numFmtId="41" fontId="65" fillId="9" borderId="76" xfId="4" applyNumberFormat="1" applyFont="1" applyFill="1" applyBorder="1" applyAlignment="1">
      <alignment horizontal="right" vertical="center" wrapText="1"/>
    </xf>
    <xf numFmtId="41" fontId="65" fillId="9" borderId="16" xfId="4" applyNumberFormat="1" applyFont="1" applyFill="1" applyBorder="1" applyAlignment="1">
      <alignment horizontal="right" vertical="center" wrapText="1"/>
    </xf>
    <xf numFmtId="41" fontId="65" fillId="3" borderId="73" xfId="4" applyNumberFormat="1" applyFont="1" applyFill="1" applyBorder="1" applyAlignment="1">
      <alignment horizontal="right" vertical="center" wrapText="1"/>
    </xf>
    <xf numFmtId="41" fontId="67" fillId="0" borderId="9" xfId="0" applyNumberFormat="1" applyFont="1" applyBorder="1" applyAlignment="1">
      <alignment horizontal="right" vertical="center" wrapText="1"/>
    </xf>
    <xf numFmtId="41" fontId="67" fillId="25" borderId="26" xfId="4" applyNumberFormat="1" applyFont="1" applyFill="1" applyBorder="1" applyAlignment="1">
      <alignment horizontal="right" vertical="center" wrapText="1"/>
    </xf>
    <xf numFmtId="41" fontId="65" fillId="3" borderId="26" xfId="4" applyNumberFormat="1" applyFont="1" applyFill="1" applyBorder="1" applyAlignment="1">
      <alignment horizontal="right" vertical="center" wrapText="1"/>
    </xf>
    <xf numFmtId="41" fontId="65" fillId="9" borderId="26" xfId="4" applyNumberFormat="1" applyFont="1" applyFill="1" applyBorder="1" applyAlignment="1">
      <alignment horizontal="right" vertical="center" wrapText="1"/>
    </xf>
    <xf numFmtId="41" fontId="65" fillId="0" borderId="26" xfId="4" applyNumberFormat="1" applyFont="1" applyFill="1" applyBorder="1" applyAlignment="1">
      <alignment horizontal="right" vertical="center" wrapText="1"/>
    </xf>
    <xf numFmtId="41" fontId="67" fillId="0" borderId="26" xfId="4" applyNumberFormat="1" applyFont="1" applyFill="1" applyBorder="1" applyAlignment="1">
      <alignment horizontal="right" vertical="center" wrapText="1"/>
    </xf>
    <xf numFmtId="41" fontId="67" fillId="0" borderId="26" xfId="4" applyNumberFormat="1" applyFont="1" applyBorder="1" applyAlignment="1">
      <alignment horizontal="right" vertical="center" wrapText="1"/>
    </xf>
    <xf numFmtId="41" fontId="67" fillId="0" borderId="33" xfId="4" applyNumberFormat="1" applyFont="1" applyBorder="1" applyAlignment="1">
      <alignment horizontal="right" vertical="center" wrapText="1"/>
    </xf>
    <xf numFmtId="41" fontId="19" fillId="6" borderId="9" xfId="0" applyNumberFormat="1" applyFont="1" applyFill="1" applyBorder="1" applyAlignment="1">
      <alignment horizontal="right" vertical="center" wrapText="1" indent="1"/>
    </xf>
    <xf numFmtId="41" fontId="23" fillId="6" borderId="9" xfId="0" applyNumberFormat="1" applyFont="1" applyFill="1" applyBorder="1" applyAlignment="1">
      <alignment horizontal="right" vertical="center" wrapText="1" indent="1"/>
    </xf>
    <xf numFmtId="41" fontId="19" fillId="6" borderId="7" xfId="0" applyNumberFormat="1" applyFont="1" applyFill="1" applyBorder="1" applyAlignment="1">
      <alignment horizontal="right" vertical="center" wrapText="1" indent="1"/>
    </xf>
    <xf numFmtId="49" fontId="124" fillId="0" borderId="34" xfId="0" applyNumberFormat="1" applyFont="1" applyBorder="1" applyAlignment="1">
      <alignment horizontal="center" vertical="center"/>
    </xf>
    <xf numFmtId="0" fontId="125" fillId="0" borderId="2" xfId="0" applyFont="1" applyBorder="1" applyAlignment="1">
      <alignment horizontal="left" vertical="center" wrapText="1"/>
    </xf>
    <xf numFmtId="49" fontId="126" fillId="0" borderId="1" xfId="0" applyNumberFormat="1" applyFont="1" applyBorder="1" applyAlignment="1">
      <alignment horizontal="center" vertical="center"/>
    </xf>
    <xf numFmtId="49" fontId="126" fillId="0" borderId="4" xfId="0" applyNumberFormat="1" applyFont="1" applyBorder="1" applyAlignment="1">
      <alignment horizontal="center" vertical="center"/>
    </xf>
    <xf numFmtId="49" fontId="127" fillId="0" borderId="34" xfId="0" applyNumberFormat="1" applyFont="1" applyBorder="1" applyAlignment="1">
      <alignment horizontal="center" vertical="center"/>
    </xf>
    <xf numFmtId="0" fontId="126" fillId="0" borderId="2" xfId="0" applyFont="1" applyBorder="1" applyAlignment="1">
      <alignment horizontal="left" vertical="center" wrapText="1"/>
    </xf>
    <xf numFmtId="0" fontId="29" fillId="0" borderId="53" xfId="0" applyFont="1" applyBorder="1" applyAlignment="1">
      <alignment vertical="center"/>
    </xf>
    <xf numFmtId="41" fontId="29" fillId="25" borderId="53" xfId="0" applyNumberFormat="1" applyFont="1" applyFill="1" applyBorder="1" applyAlignment="1">
      <alignment horizontal="right" vertical="center"/>
    </xf>
    <xf numFmtId="41" fontId="29" fillId="0" borderId="31" xfId="0" applyNumberFormat="1" applyFont="1" applyBorder="1" applyAlignment="1">
      <alignment vertical="center"/>
    </xf>
    <xf numFmtId="0" fontId="54" fillId="0" borderId="9" xfId="0" applyFont="1" applyBorder="1" applyAlignment="1">
      <alignment vertical="center" wrapText="1"/>
    </xf>
    <xf numFmtId="0" fontId="29" fillId="0" borderId="9" xfId="0" applyFont="1" applyBorder="1" applyAlignment="1">
      <alignment vertical="center" wrapText="1"/>
    </xf>
    <xf numFmtId="41" fontId="29" fillId="25" borderId="9" xfId="0" applyNumberFormat="1" applyFont="1" applyFill="1" applyBorder="1" applyAlignment="1">
      <alignment horizontal="right" vertical="center"/>
    </xf>
    <xf numFmtId="49" fontId="85" fillId="0" borderId="9" xfId="0" applyNumberFormat="1" applyFont="1" applyBorder="1" applyAlignment="1">
      <alignment horizontal="left" vertical="center"/>
    </xf>
    <xf numFmtId="49" fontId="84" fillId="0" borderId="9" xfId="0" applyNumberFormat="1" applyFont="1" applyBorder="1" applyAlignment="1">
      <alignment horizontal="left" vertical="center" wrapText="1" indent="1"/>
    </xf>
    <xf numFmtId="0" fontId="65" fillId="0" borderId="49" xfId="0" applyFont="1" applyBorder="1" applyAlignment="1">
      <alignment vertical="center"/>
    </xf>
    <xf numFmtId="41" fontId="24" fillId="0" borderId="9" xfId="0" applyNumberFormat="1" applyFont="1" applyBorder="1" applyAlignment="1">
      <alignment vertical="center"/>
    </xf>
    <xf numFmtId="3" fontId="67" fillId="0" borderId="0" xfId="0" applyNumberFormat="1" applyFont="1" applyFill="1"/>
    <xf numFmtId="0" fontId="128" fillId="0" borderId="30" xfId="0" applyFont="1" applyFill="1" applyBorder="1" applyAlignment="1">
      <alignment horizontal="center" vertical="center"/>
    </xf>
    <xf numFmtId="41" fontId="19" fillId="0" borderId="0" xfId="0" applyNumberFormat="1" applyFont="1"/>
    <xf numFmtId="0" fontId="65" fillId="0" borderId="9" xfId="0" applyFont="1" applyBorder="1" applyAlignment="1">
      <alignment horizontal="left" vertical="center"/>
    </xf>
    <xf numFmtId="0" fontId="19" fillId="27" borderId="0" xfId="0" applyFont="1" applyFill="1"/>
    <xf numFmtId="41" fontId="19" fillId="27" borderId="0" xfId="0" applyNumberFormat="1" applyFont="1" applyFill="1"/>
    <xf numFmtId="0" fontId="19" fillId="27" borderId="0" xfId="0" applyFont="1" applyFill="1" applyAlignment="1">
      <alignment horizontal="right"/>
    </xf>
    <xf numFmtId="0" fontId="100" fillId="25" borderId="17" xfId="4" applyFont="1" applyFill="1" applyBorder="1" applyAlignment="1">
      <alignment horizontal="center" vertical="center" wrapText="1"/>
    </xf>
    <xf numFmtId="41" fontId="19" fillId="25" borderId="33" xfId="0" applyNumberFormat="1" applyFont="1" applyFill="1" applyBorder="1" applyAlignment="1">
      <alignment horizontal="right" vertical="center" wrapText="1" indent="1"/>
    </xf>
    <xf numFmtId="41" fontId="19" fillId="25" borderId="73" xfId="0" applyNumberFormat="1" applyFont="1" applyFill="1" applyBorder="1" applyAlignment="1">
      <alignment horizontal="right" vertical="center" wrapText="1" indent="1"/>
    </xf>
    <xf numFmtId="41" fontId="19" fillId="25" borderId="26" xfId="0" applyNumberFormat="1" applyFont="1" applyFill="1" applyBorder="1" applyAlignment="1">
      <alignment horizontal="right" vertical="center" wrapText="1" indent="1"/>
    </xf>
    <xf numFmtId="41" fontId="18" fillId="25" borderId="76" xfId="0" applyNumberFormat="1" applyFont="1" applyFill="1" applyBorder="1" applyAlignment="1">
      <alignment horizontal="right" vertical="center" wrapText="1" indent="1"/>
    </xf>
    <xf numFmtId="41" fontId="23" fillId="25" borderId="9" xfId="0" applyNumberFormat="1" applyFont="1" applyFill="1" applyBorder="1" applyAlignment="1">
      <alignment horizontal="right" vertical="center" wrapText="1" indent="1"/>
    </xf>
    <xf numFmtId="41" fontId="19" fillId="25" borderId="7" xfId="0" applyNumberFormat="1" applyFont="1" applyFill="1" applyBorder="1" applyAlignment="1">
      <alignment horizontal="right" vertical="center" wrapText="1" indent="1"/>
    </xf>
    <xf numFmtId="41" fontId="23" fillId="25" borderId="26" xfId="0" applyNumberFormat="1" applyFont="1" applyFill="1" applyBorder="1" applyAlignment="1">
      <alignment horizontal="right" vertical="center" wrapText="1" indent="1"/>
    </xf>
    <xf numFmtId="41" fontId="24" fillId="25" borderId="9" xfId="0" applyNumberFormat="1" applyFont="1" applyFill="1" applyBorder="1" applyAlignment="1">
      <alignment vertical="center"/>
    </xf>
    <xf numFmtId="41" fontId="23" fillId="25" borderId="33" xfId="0" applyNumberFormat="1" applyFont="1" applyFill="1" applyBorder="1" applyAlignment="1">
      <alignment horizontal="right" vertical="center" wrapText="1" indent="1"/>
    </xf>
    <xf numFmtId="41" fontId="32" fillId="25" borderId="76" xfId="0" applyNumberFormat="1" applyFont="1" applyFill="1" applyBorder="1" applyAlignment="1">
      <alignment horizontal="right" vertical="center" wrapText="1" indent="1"/>
    </xf>
    <xf numFmtId="0" fontId="19" fillId="25" borderId="0" xfId="0" applyFont="1" applyFill="1" applyAlignment="1">
      <alignment horizontal="right"/>
    </xf>
    <xf numFmtId="0" fontId="65" fillId="8" borderId="96" xfId="0" applyFont="1" applyFill="1" applyBorder="1" applyAlignment="1">
      <alignment horizontal="left" vertical="center"/>
    </xf>
    <xf numFmtId="0" fontId="84" fillId="0" borderId="9" xfId="0" applyFont="1" applyBorder="1" applyAlignment="1">
      <alignment horizontal="left" vertical="center" wrapText="1"/>
    </xf>
    <xf numFmtId="0" fontId="65" fillId="8" borderId="70" xfId="0" applyFont="1" applyFill="1" applyBorder="1" applyAlignment="1">
      <alignment horizontal="center" vertical="center"/>
    </xf>
    <xf numFmtId="0" fontId="92" fillId="3" borderId="27" xfId="0" applyFont="1" applyFill="1" applyBorder="1" applyAlignment="1">
      <alignment vertical="center"/>
    </xf>
    <xf numFmtId="0" fontId="65" fillId="8" borderId="97" xfId="0" applyFont="1" applyFill="1" applyBorder="1" applyAlignment="1">
      <alignment horizontal="left" vertical="center"/>
    </xf>
    <xf numFmtId="0" fontId="65" fillId="8" borderId="95" xfId="0" applyFont="1" applyFill="1" applyBorder="1" applyAlignment="1">
      <alignment horizontal="center" vertical="center"/>
    </xf>
    <xf numFmtId="0" fontId="85" fillId="6" borderId="9" xfId="0" applyFont="1" applyFill="1" applyBorder="1" applyAlignment="1">
      <alignment vertical="center" wrapText="1"/>
    </xf>
    <xf numFmtId="0" fontId="84" fillId="0" borderId="9" xfId="0" applyFont="1" applyBorder="1" applyAlignment="1">
      <alignment vertical="center" wrapText="1"/>
    </xf>
    <xf numFmtId="0" fontId="85" fillId="0" borderId="9" xfId="0" applyFont="1" applyBorder="1" applyAlignment="1">
      <alignment vertical="center"/>
    </xf>
    <xf numFmtId="41" fontId="66" fillId="8" borderId="24" xfId="0" applyNumberFormat="1" applyFont="1" applyFill="1" applyBorder="1" applyAlignment="1">
      <alignment horizontal="right" vertical="center" wrapText="1"/>
    </xf>
    <xf numFmtId="41" fontId="66" fillId="8" borderId="42" xfId="0" applyNumberFormat="1" applyFont="1" applyFill="1" applyBorder="1" applyAlignment="1">
      <alignment horizontal="right" vertical="center" wrapText="1"/>
    </xf>
    <xf numFmtId="0" fontId="92" fillId="0" borderId="2" xfId="0" applyFont="1" applyBorder="1" applyAlignment="1">
      <alignment vertical="center"/>
    </xf>
    <xf numFmtId="41" fontId="92" fillId="0" borderId="83" xfId="0" applyNumberFormat="1" applyFont="1" applyFill="1" applyBorder="1" applyAlignment="1">
      <alignment horizontal="left" vertical="center" wrapText="1"/>
    </xf>
    <xf numFmtId="41" fontId="18" fillId="6" borderId="23" xfId="0" applyNumberFormat="1" applyFont="1" applyFill="1" applyBorder="1" applyAlignment="1">
      <alignment horizontal="right" vertical="center" wrapText="1" indent="1"/>
    </xf>
    <xf numFmtId="41" fontId="24" fillId="0" borderId="0" xfId="0" applyNumberFormat="1" applyFont="1" applyBorder="1" applyAlignment="1">
      <alignment vertical="center"/>
    </xf>
    <xf numFmtId="41" fontId="24" fillId="0" borderId="3" xfId="0" applyNumberFormat="1" applyFont="1" applyBorder="1" applyAlignment="1">
      <alignment vertical="center"/>
    </xf>
    <xf numFmtId="49" fontId="22" fillId="0" borderId="46" xfId="0" applyNumberFormat="1" applyFont="1" applyFill="1" applyBorder="1" applyAlignment="1">
      <alignment horizontal="left" vertical="center" wrapText="1"/>
    </xf>
    <xf numFmtId="49" fontId="22" fillId="0" borderId="46" xfId="0" applyNumberFormat="1" applyFont="1" applyFill="1" applyBorder="1" applyAlignment="1">
      <alignment horizontal="center" vertical="center" wrapText="1"/>
    </xf>
    <xf numFmtId="41" fontId="32" fillId="6" borderId="23" xfId="0" applyNumberFormat="1" applyFont="1" applyFill="1" applyBorder="1" applyAlignment="1">
      <alignment horizontal="right" vertical="center" wrapText="1" indent="1"/>
    </xf>
    <xf numFmtId="49" fontId="85" fillId="0" borderId="34" xfId="0" applyNumberFormat="1" applyFont="1" applyBorder="1" applyAlignment="1">
      <alignment horizontal="center" vertical="center"/>
    </xf>
    <xf numFmtId="49" fontId="85" fillId="0" borderId="36" xfId="0" applyNumberFormat="1" applyFont="1" applyBorder="1" applyAlignment="1">
      <alignment horizontal="center" vertical="center"/>
    </xf>
    <xf numFmtId="0" fontId="85" fillId="0" borderId="21" xfId="0" applyFont="1" applyBorder="1" applyAlignment="1">
      <alignment horizontal="left" vertical="center" wrapText="1" indent="1"/>
    </xf>
    <xf numFmtId="41" fontId="85" fillId="0" borderId="21" xfId="0" applyNumberFormat="1" applyFont="1" applyBorder="1" applyAlignment="1">
      <alignment horizontal="right" vertical="center" wrapText="1"/>
    </xf>
    <xf numFmtId="49" fontId="85" fillId="0" borderId="21" xfId="0" applyNumberFormat="1" applyFont="1" applyBorder="1" applyAlignment="1">
      <alignment horizontal="left" vertical="center" wrapText="1" indent="1"/>
    </xf>
    <xf numFmtId="41" fontId="54" fillId="0" borderId="3" xfId="0" applyNumberFormat="1" applyFont="1" applyFill="1" applyBorder="1" applyAlignment="1" applyProtection="1">
      <alignment horizontal="right" vertical="center"/>
      <protection locked="0"/>
    </xf>
    <xf numFmtId="41" fontId="55" fillId="0" borderId="20" xfId="0" applyNumberFormat="1" applyFont="1" applyFill="1" applyBorder="1" applyAlignment="1" applyProtection="1">
      <alignment horizontal="right" vertical="center"/>
      <protection locked="0"/>
    </xf>
    <xf numFmtId="41" fontId="55" fillId="0" borderId="44" xfId="0" applyNumberFormat="1" applyFont="1" applyFill="1" applyBorder="1" applyAlignment="1" applyProtection="1">
      <alignment horizontal="right" vertical="center"/>
      <protection locked="0"/>
    </xf>
    <xf numFmtId="41" fontId="65" fillId="9" borderId="23" xfId="0" applyNumberFormat="1" applyFont="1" applyFill="1" applyBorder="1" applyAlignment="1">
      <alignment horizontal="right" vertical="center"/>
    </xf>
    <xf numFmtId="0" fontId="29" fillId="0" borderId="34" xfId="0" applyFont="1" applyBorder="1" applyAlignment="1">
      <alignment horizontal="center" vertical="center"/>
    </xf>
    <xf numFmtId="41" fontId="65" fillId="25" borderId="73" xfId="1" applyNumberFormat="1" applyFont="1" applyFill="1" applyBorder="1" applyAlignment="1">
      <alignment horizontal="right" vertical="center" wrapText="1" indent="1"/>
    </xf>
    <xf numFmtId="41" fontId="65" fillId="0" borderId="8" xfId="1" applyNumberFormat="1" applyFont="1" applyBorder="1" applyAlignment="1">
      <alignment horizontal="right" vertical="center" wrapText="1" indent="1"/>
    </xf>
    <xf numFmtId="41" fontId="65" fillId="25" borderId="26" xfId="1" applyNumberFormat="1" applyFont="1" applyFill="1" applyBorder="1" applyAlignment="1">
      <alignment horizontal="right" vertical="center" wrapText="1" indent="1"/>
    </xf>
    <xf numFmtId="41" fontId="65" fillId="0" borderId="3" xfId="1" applyNumberFormat="1" applyFont="1" applyBorder="1" applyAlignment="1">
      <alignment horizontal="right" vertical="center" wrapText="1" indent="1"/>
    </xf>
    <xf numFmtId="41" fontId="65" fillId="0" borderId="26" xfId="1" applyNumberFormat="1" applyFont="1" applyBorder="1" applyAlignment="1">
      <alignment horizontal="right" vertical="center" wrapText="1" indent="1"/>
    </xf>
    <xf numFmtId="41" fontId="65" fillId="0" borderId="9" xfId="1" applyNumberFormat="1" applyFont="1" applyBorder="1" applyAlignment="1">
      <alignment horizontal="right" vertical="center" wrapText="1" indent="1"/>
    </xf>
    <xf numFmtId="41" fontId="67" fillId="0" borderId="26" xfId="1" applyNumberFormat="1" applyFont="1" applyBorder="1" applyAlignment="1">
      <alignment horizontal="right" vertical="center" wrapText="1" indent="1"/>
    </xf>
    <xf numFmtId="41" fontId="68" fillId="0" borderId="9" xfId="1" applyNumberFormat="1" applyFont="1" applyBorder="1" applyAlignment="1">
      <alignment horizontal="right" vertical="center" wrapText="1" indent="1"/>
    </xf>
    <xf numFmtId="41" fontId="68" fillId="0" borderId="3" xfId="1" applyNumberFormat="1" applyFont="1" applyBorder="1" applyAlignment="1">
      <alignment horizontal="right" vertical="center" wrapText="1" indent="1"/>
    </xf>
    <xf numFmtId="41" fontId="66" fillId="0" borderId="3" xfId="1" applyNumberFormat="1" applyFont="1" applyBorder="1" applyAlignment="1">
      <alignment horizontal="right" vertical="center" wrapText="1" indent="1"/>
    </xf>
    <xf numFmtId="41" fontId="65" fillId="25" borderId="33" xfId="1" applyNumberFormat="1" applyFont="1" applyFill="1" applyBorder="1" applyAlignment="1">
      <alignment horizontal="right" vertical="center" wrapText="1" indent="1"/>
    </xf>
    <xf numFmtId="41" fontId="65" fillId="0" borderId="19" xfId="1" applyNumberFormat="1" applyFont="1" applyBorder="1" applyAlignment="1">
      <alignment horizontal="right" vertical="center" wrapText="1" indent="1"/>
    </xf>
    <xf numFmtId="41" fontId="65" fillId="0" borderId="47" xfId="1" applyNumberFormat="1" applyFont="1" applyBorder="1" applyAlignment="1">
      <alignment horizontal="right" vertical="center" wrapText="1" indent="1"/>
    </xf>
    <xf numFmtId="41" fontId="65" fillId="9" borderId="76" xfId="1" applyNumberFormat="1" applyFont="1" applyFill="1" applyBorder="1" applyAlignment="1">
      <alignment horizontal="right" vertical="center" wrapText="1" indent="1"/>
    </xf>
    <xf numFmtId="41" fontId="65" fillId="9" borderId="23" xfId="1" applyNumberFormat="1" applyFont="1" applyFill="1" applyBorder="1" applyAlignment="1">
      <alignment horizontal="right" vertical="center" wrapText="1" indent="1"/>
    </xf>
    <xf numFmtId="0" fontId="65" fillId="0" borderId="34" xfId="0" applyFont="1" applyBorder="1" applyAlignment="1">
      <alignment horizontal="center" vertical="center"/>
    </xf>
    <xf numFmtId="0" fontId="92" fillId="0" borderId="91" xfId="0" applyFont="1" applyBorder="1" applyAlignment="1">
      <alignment vertical="center" wrapText="1"/>
    </xf>
    <xf numFmtId="0" fontId="85" fillId="3" borderId="98" xfId="0" applyFont="1" applyFill="1" applyBorder="1" applyAlignment="1">
      <alignment vertical="center"/>
    </xf>
    <xf numFmtId="41" fontId="81" fillId="0" borderId="9" xfId="0" applyNumberFormat="1" applyFont="1" applyBorder="1" applyAlignment="1">
      <alignment horizontal="right" vertical="center" wrapText="1" indent="1"/>
    </xf>
    <xf numFmtId="41" fontId="106" fillId="0" borderId="9" xfId="0" applyNumberFormat="1" applyFont="1" applyBorder="1" applyAlignment="1">
      <alignment horizontal="right" vertical="center" wrapText="1" indent="1"/>
    </xf>
    <xf numFmtId="41" fontId="98" fillId="0" borderId="9" xfId="0" applyNumberFormat="1" applyFont="1" applyBorder="1" applyAlignment="1">
      <alignment horizontal="right" vertical="center" wrapText="1" indent="1"/>
    </xf>
    <xf numFmtId="41" fontId="81" fillId="0" borderId="3" xfId="0" applyNumberFormat="1" applyFont="1" applyBorder="1" applyAlignment="1">
      <alignment horizontal="right" vertical="center" wrapText="1" indent="1"/>
    </xf>
    <xf numFmtId="41" fontId="98" fillId="0" borderId="3" xfId="0" applyNumberFormat="1" applyFont="1" applyBorder="1" applyAlignment="1">
      <alignment horizontal="right" vertical="center" wrapText="1" indent="1"/>
    </xf>
    <xf numFmtId="41" fontId="65" fillId="8" borderId="53" xfId="0" applyNumberFormat="1" applyFont="1" applyFill="1" applyBorder="1" applyAlignment="1">
      <alignment horizontal="right" vertical="center" wrapText="1" indent="1"/>
    </xf>
    <xf numFmtId="41" fontId="66" fillId="8" borderId="53" xfId="0" applyNumberFormat="1" applyFont="1" applyFill="1" applyBorder="1" applyAlignment="1">
      <alignment horizontal="right" vertical="center" wrapText="1" indent="1"/>
    </xf>
    <xf numFmtId="41" fontId="66" fillId="8" borderId="81" xfId="0" applyNumberFormat="1" applyFont="1" applyFill="1" applyBorder="1" applyAlignment="1">
      <alignment horizontal="right" vertical="center" wrapText="1" indent="1"/>
    </xf>
    <xf numFmtId="41" fontId="106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41" fontId="85" fillId="0" borderId="7" xfId="0" applyNumberFormat="1" applyFont="1" applyBorder="1" applyAlignment="1">
      <alignment horizontal="right" vertical="center" wrapText="1" indent="1"/>
    </xf>
    <xf numFmtId="41" fontId="85" fillId="0" borderId="8" xfId="0" applyNumberFormat="1" applyFont="1" applyBorder="1" applyAlignment="1">
      <alignment horizontal="right" vertical="center" wrapText="1" indent="1"/>
    </xf>
    <xf numFmtId="41" fontId="106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41" fontId="85" fillId="0" borderId="9" xfId="0" applyNumberFormat="1" applyFont="1" applyBorder="1" applyAlignment="1">
      <alignment horizontal="right" vertical="center" wrapText="1" indent="1"/>
    </xf>
    <xf numFmtId="41" fontId="85" fillId="0" borderId="3" xfId="0" applyNumberFormat="1" applyFont="1" applyBorder="1" applyAlignment="1">
      <alignment horizontal="right" vertical="center" wrapText="1" indent="1"/>
    </xf>
    <xf numFmtId="41" fontId="85" fillId="25" borderId="9" xfId="0" applyNumberFormat="1" applyFont="1" applyFill="1" applyBorder="1" applyAlignment="1">
      <alignment horizontal="right" vertical="center" wrapText="1" indent="1"/>
    </xf>
    <xf numFmtId="41" fontId="85" fillId="0" borderId="9" xfId="1" applyNumberFormat="1" applyFont="1" applyBorder="1" applyAlignment="1">
      <alignment horizontal="right" vertical="center" wrapText="1" indent="1"/>
    </xf>
    <xf numFmtId="41" fontId="92" fillId="0" borderId="9" xfId="1" applyNumberFormat="1" applyFont="1" applyBorder="1" applyAlignment="1">
      <alignment horizontal="right" vertical="center" wrapText="1" indent="1"/>
    </xf>
    <xf numFmtId="41" fontId="92" fillId="9" borderId="53" xfId="0" applyNumberFormat="1" applyFont="1" applyFill="1" applyBorder="1" applyAlignment="1">
      <alignment horizontal="right" vertical="center" wrapText="1" indent="1"/>
    </xf>
    <xf numFmtId="41" fontId="92" fillId="9" borderId="81" xfId="0" applyNumberFormat="1" applyFont="1" applyFill="1" applyBorder="1" applyAlignment="1">
      <alignment horizontal="right" vertical="center" wrapText="1" indent="1"/>
    </xf>
    <xf numFmtId="41" fontId="92" fillId="0" borderId="48" xfId="0" applyNumberFormat="1" applyFont="1" applyFill="1" applyBorder="1" applyAlignment="1">
      <alignment horizontal="right" vertical="center" wrapText="1" indent="1"/>
    </xf>
    <xf numFmtId="41" fontId="92" fillId="0" borderId="11" xfId="0" applyNumberFormat="1" applyFont="1" applyFill="1" applyBorder="1" applyAlignment="1">
      <alignment horizontal="right" vertical="center" wrapText="1" indent="1"/>
    </xf>
    <xf numFmtId="41" fontId="85" fillId="0" borderId="7" xfId="1" applyNumberFormat="1" applyFont="1" applyBorder="1" applyAlignment="1">
      <alignment horizontal="right" vertical="center" wrapText="1" indent="1"/>
    </xf>
    <xf numFmtId="41" fontId="84" fillId="0" borderId="7" xfId="0" applyNumberFormat="1" applyFont="1" applyBorder="1" applyAlignment="1">
      <alignment horizontal="right" vertical="center" wrapText="1" indent="1"/>
    </xf>
    <xf numFmtId="41" fontId="93" fillId="0" borderId="8" xfId="0" applyNumberFormat="1" applyFont="1" applyBorder="1" applyAlignment="1">
      <alignment horizontal="right" vertical="center" wrapText="1" indent="1"/>
    </xf>
    <xf numFmtId="41" fontId="92" fillId="0" borderId="19" xfId="1" applyNumberFormat="1" applyFont="1" applyBorder="1" applyAlignment="1">
      <alignment horizontal="right" vertical="center" wrapText="1" indent="1"/>
    </xf>
    <xf numFmtId="41" fontId="92" fillId="0" borderId="47" xfId="1" applyNumberFormat="1" applyFont="1" applyBorder="1" applyAlignment="1">
      <alignment horizontal="right" vertical="center" wrapText="1" indent="1"/>
    </xf>
    <xf numFmtId="41" fontId="92" fillId="9" borderId="16" xfId="0" applyNumberFormat="1" applyFont="1" applyFill="1" applyBorder="1" applyAlignment="1">
      <alignment horizontal="right" vertical="center" wrapText="1" indent="1"/>
    </xf>
    <xf numFmtId="41" fontId="123" fillId="26" borderId="23" xfId="50" applyNumberFormat="1" applyFont="1" applyBorder="1" applyAlignment="1">
      <alignment horizontal="right" vertical="center" wrapText="1" indent="1"/>
    </xf>
    <xf numFmtId="41" fontId="85" fillId="25" borderId="9" xfId="0" applyNumberFormat="1" applyFont="1" applyFill="1" applyBorder="1" applyAlignment="1">
      <alignment horizontal="right" vertical="center" indent="1"/>
    </xf>
    <xf numFmtId="0" fontId="85" fillId="0" borderId="7" xfId="0" applyFont="1" applyBorder="1" applyAlignment="1">
      <alignment horizontal="left" vertical="center" wrapText="1" indent="1"/>
    </xf>
    <xf numFmtId="3" fontId="51" fillId="0" borderId="0" xfId="4" applyNumberFormat="1" applyFont="1" applyBorder="1" applyAlignment="1">
      <alignment horizontal="center" vertical="center"/>
    </xf>
    <xf numFmtId="41" fontId="92" fillId="8" borderId="80" xfId="0" applyNumberFormat="1" applyFont="1" applyFill="1" applyBorder="1" applyAlignment="1">
      <alignment horizontal="left" vertical="center" wrapText="1"/>
    </xf>
    <xf numFmtId="41" fontId="88" fillId="0" borderId="9" xfId="4" applyNumberFormat="1" applyFont="1" applyBorder="1" applyAlignment="1">
      <alignment horizontal="right" vertical="center" wrapText="1" indent="1"/>
    </xf>
    <xf numFmtId="41" fontId="53" fillId="0" borderId="9" xfId="4" applyNumberFormat="1" applyFont="1" applyBorder="1" applyAlignment="1">
      <alignment horizontal="right" vertical="center" wrapText="1" indent="1"/>
    </xf>
    <xf numFmtId="41" fontId="52" fillId="0" borderId="9" xfId="4" applyNumberFormat="1" applyFont="1" applyBorder="1" applyAlignment="1">
      <alignment horizontal="right" vertical="center" wrapText="1" indent="1"/>
    </xf>
    <xf numFmtId="41" fontId="86" fillId="0" borderId="9" xfId="4" applyNumberFormat="1" applyFont="1" applyBorder="1" applyAlignment="1">
      <alignment horizontal="right" vertical="center" wrapText="1" indent="1"/>
    </xf>
    <xf numFmtId="41" fontId="52" fillId="0" borderId="9" xfId="4" applyNumberFormat="1" applyFont="1" applyFill="1" applyBorder="1" applyAlignment="1">
      <alignment horizontal="right" vertical="center" wrapText="1" indent="1"/>
    </xf>
    <xf numFmtId="41" fontId="89" fillId="0" borderId="9" xfId="4" applyNumberFormat="1" applyFont="1" applyBorder="1" applyAlignment="1">
      <alignment horizontal="right" vertical="center" wrapText="1" indent="1"/>
    </xf>
    <xf numFmtId="41" fontId="86" fillId="0" borderId="9" xfId="4" applyNumberFormat="1" applyFont="1" applyFill="1" applyBorder="1" applyAlignment="1">
      <alignment horizontal="right" vertical="center" wrapText="1" indent="1"/>
    </xf>
    <xf numFmtId="41" fontId="86" fillId="3" borderId="3" xfId="4" applyNumberFormat="1" applyFont="1" applyFill="1" applyBorder="1" applyAlignment="1">
      <alignment horizontal="right" vertical="center" wrapText="1" indent="1"/>
    </xf>
    <xf numFmtId="41" fontId="88" fillId="25" borderId="9" xfId="4" applyNumberFormat="1" applyFont="1" applyFill="1" applyBorder="1" applyAlignment="1">
      <alignment horizontal="right" vertical="center" wrapText="1" indent="1"/>
    </xf>
    <xf numFmtId="41" fontId="86" fillId="0" borderId="26" xfId="4" applyNumberFormat="1" applyFont="1" applyFill="1" applyBorder="1" applyAlignment="1">
      <alignment horizontal="right" vertical="center" wrapText="1" indent="1"/>
    </xf>
    <xf numFmtId="41" fontId="88" fillId="0" borderId="26" xfId="4" applyNumberFormat="1" applyFont="1" applyBorder="1" applyAlignment="1">
      <alignment horizontal="right" vertical="center" wrapText="1" indent="1"/>
    </xf>
    <xf numFmtId="0" fontId="100" fillId="0" borderId="42" xfId="5" applyFont="1" applyBorder="1" applyAlignment="1">
      <alignment horizontal="center" vertical="center" wrapText="1"/>
    </xf>
    <xf numFmtId="41" fontId="23" fillId="6" borderId="73" xfId="0" applyNumberFormat="1" applyFont="1" applyFill="1" applyBorder="1" applyAlignment="1">
      <alignment horizontal="right" vertical="center" wrapText="1" indent="1"/>
    </xf>
    <xf numFmtId="41" fontId="19" fillId="6" borderId="99" xfId="0" applyNumberFormat="1" applyFont="1" applyFill="1" applyBorder="1" applyAlignment="1">
      <alignment horizontal="right" vertical="center" wrapText="1" indent="1"/>
    </xf>
    <xf numFmtId="41" fontId="71" fillId="0" borderId="79" xfId="0" applyNumberFormat="1" applyFont="1" applyBorder="1" applyAlignment="1">
      <alignment horizontal="center" vertical="center" wrapText="1"/>
    </xf>
    <xf numFmtId="41" fontId="29" fillId="25" borderId="76" xfId="0" applyNumberFormat="1" applyFont="1" applyFill="1" applyBorder="1" applyAlignment="1">
      <alignment horizontal="center" vertical="center" wrapText="1"/>
    </xf>
    <xf numFmtId="41" fontId="65" fillId="0" borderId="2" xfId="4" applyNumberFormat="1" applyFont="1" applyBorder="1" applyAlignment="1">
      <alignment horizontal="right" vertical="center" wrapText="1"/>
    </xf>
    <xf numFmtId="41" fontId="65" fillId="0" borderId="96" xfId="0" applyNumberFormat="1" applyFont="1" applyBorder="1" applyAlignment="1">
      <alignment horizontal="center" vertical="center" wrapText="1"/>
    </xf>
    <xf numFmtId="41" fontId="86" fillId="3" borderId="16" xfId="4" applyNumberFormat="1" applyFont="1" applyFill="1" applyBorder="1" applyAlignment="1">
      <alignment horizontal="right" vertical="center" wrapText="1" indent="1"/>
    </xf>
    <xf numFmtId="0" fontId="89" fillId="0" borderId="5" xfId="4" applyFont="1" applyBorder="1" applyAlignment="1">
      <alignment horizontal="left" vertical="center" indent="1"/>
    </xf>
    <xf numFmtId="41" fontId="89" fillId="0" borderId="19" xfId="4" applyNumberFormat="1" applyFont="1" applyBorder="1" applyAlignment="1">
      <alignment horizontal="right" vertical="center" wrapText="1" indent="1"/>
    </xf>
    <xf numFmtId="41" fontId="52" fillId="0" borderId="19" xfId="4" applyNumberFormat="1" applyFont="1" applyBorder="1" applyAlignment="1">
      <alignment horizontal="right" vertical="center" wrapText="1" indent="1"/>
    </xf>
    <xf numFmtId="41" fontId="88" fillId="0" borderId="19" xfId="4" applyNumberFormat="1" applyFont="1" applyBorder="1" applyAlignment="1">
      <alignment horizontal="right" vertical="center" wrapText="1" indent="1"/>
    </xf>
    <xf numFmtId="41" fontId="88" fillId="0" borderId="33" xfId="4" applyNumberFormat="1" applyFont="1" applyBorder="1" applyAlignment="1">
      <alignment horizontal="right" vertical="center" wrapText="1" indent="1"/>
    </xf>
    <xf numFmtId="0" fontId="86" fillId="4" borderId="25" xfId="4" applyFont="1" applyFill="1" applyBorder="1" applyAlignment="1">
      <alignment horizontal="left" vertical="center" indent="1"/>
    </xf>
    <xf numFmtId="41" fontId="86" fillId="4" borderId="16" xfId="4" applyNumberFormat="1" applyFont="1" applyFill="1" applyBorder="1" applyAlignment="1">
      <alignment horizontal="right" vertical="center" wrapText="1" indent="1"/>
    </xf>
    <xf numFmtId="41" fontId="86" fillId="4" borderId="6" xfId="4" applyNumberFormat="1" applyFont="1" applyFill="1" applyBorder="1" applyAlignment="1">
      <alignment horizontal="right" vertical="center" wrapText="1" indent="1"/>
    </xf>
    <xf numFmtId="41" fontId="86" fillId="3" borderId="6" xfId="4" applyNumberFormat="1" applyFont="1" applyFill="1" applyBorder="1" applyAlignment="1">
      <alignment horizontal="right" vertical="center" wrapText="1" indent="1"/>
    </xf>
    <xf numFmtId="0" fontId="86" fillId="3" borderId="25" xfId="4" applyFont="1" applyFill="1" applyBorder="1" applyAlignment="1">
      <alignment horizontal="left" vertical="center" wrapText="1"/>
    </xf>
    <xf numFmtId="0" fontId="88" fillId="0" borderId="34" xfId="0" applyFont="1" applyBorder="1" applyAlignment="1">
      <alignment horizontal="left" vertical="center" wrapText="1"/>
    </xf>
    <xf numFmtId="0" fontId="88" fillId="0" borderId="34" xfId="4" applyFont="1" applyBorder="1" applyAlignment="1">
      <alignment horizontal="left" vertical="center" indent="1"/>
    </xf>
    <xf numFmtId="0" fontId="88" fillId="0" borderId="5" xfId="4" applyFont="1" applyBorder="1" applyAlignment="1">
      <alignment horizontal="left" vertical="center" wrapText="1" indent="1"/>
    </xf>
    <xf numFmtId="41" fontId="52" fillId="0" borderId="0" xfId="4" applyNumberFormat="1" applyFont="1" applyBorder="1" applyAlignment="1">
      <alignment horizontal="right" vertical="center" wrapText="1" indent="1"/>
    </xf>
    <xf numFmtId="41" fontId="18" fillId="6" borderId="16" xfId="0" applyNumberFormat="1" applyFont="1" applyFill="1" applyBorder="1" applyAlignment="1">
      <alignment horizontal="right" vertical="center" wrapText="1" indent="1"/>
    </xf>
    <xf numFmtId="41" fontId="32" fillId="6" borderId="16" xfId="0" applyNumberFormat="1" applyFont="1" applyFill="1" applyBorder="1" applyAlignment="1">
      <alignment horizontal="right" vertical="center" wrapText="1" indent="1"/>
    </xf>
    <xf numFmtId="41" fontId="19" fillId="6" borderId="19" xfId="0" applyNumberFormat="1" applyFont="1" applyFill="1" applyBorder="1" applyAlignment="1">
      <alignment horizontal="right" vertical="center" wrapText="1" indent="1"/>
    </xf>
    <xf numFmtId="0" fontId="11" fillId="0" borderId="19" xfId="0" applyFont="1" applyBorder="1" applyAlignment="1">
      <alignment vertical="center"/>
    </xf>
    <xf numFmtId="49" fontId="22" fillId="0" borderId="1" xfId="0" applyNumberFormat="1" applyFont="1" applyFill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/>
    </xf>
    <xf numFmtId="0" fontId="95" fillId="0" borderId="9" xfId="0" applyFont="1" applyBorder="1" applyAlignment="1">
      <alignment horizontal="left" vertical="center" wrapText="1" indent="1"/>
    </xf>
    <xf numFmtId="41" fontId="94" fillId="0" borderId="0" xfId="0" applyNumberFormat="1" applyFont="1" applyAlignment="1">
      <alignment vertical="center"/>
    </xf>
    <xf numFmtId="41" fontId="92" fillId="0" borderId="49" xfId="0" applyNumberFormat="1" applyFont="1" applyBorder="1" applyAlignment="1">
      <alignment horizontal="right" vertical="center" wrapText="1"/>
    </xf>
    <xf numFmtId="41" fontId="67" fillId="25" borderId="26" xfId="1" applyNumberFormat="1" applyFont="1" applyFill="1" applyBorder="1" applyAlignment="1">
      <alignment horizontal="right" vertical="center" wrapText="1" indent="1"/>
    </xf>
    <xf numFmtId="41" fontId="67" fillId="0" borderId="9" xfId="1" applyNumberFormat="1" applyFont="1" applyBorder="1" applyAlignment="1">
      <alignment horizontal="right" vertical="center" wrapText="1" indent="1"/>
    </xf>
    <xf numFmtId="41" fontId="67" fillId="0" borderId="3" xfId="1" applyNumberFormat="1" applyFont="1" applyBorder="1" applyAlignment="1">
      <alignment horizontal="right" vertical="center" wrapText="1" indent="1"/>
    </xf>
    <xf numFmtId="3" fontId="67" fillId="0" borderId="0" xfId="0" applyNumberFormat="1" applyFont="1" applyBorder="1" applyAlignment="1">
      <alignment horizontal="right" vertical="center" indent="1"/>
    </xf>
    <xf numFmtId="0" fontId="68" fillId="0" borderId="0" xfId="0" applyFont="1"/>
    <xf numFmtId="41" fontId="110" fillId="0" borderId="73" xfId="6" applyNumberFormat="1" applyFont="1" applyBorder="1" applyAlignment="1">
      <alignment horizontal="right" vertical="center" wrapText="1"/>
    </xf>
    <xf numFmtId="41" fontId="110" fillId="0" borderId="8" xfId="6" applyNumberFormat="1" applyFont="1" applyBorder="1" applyAlignment="1">
      <alignment horizontal="right" vertical="center" wrapText="1"/>
    </xf>
    <xf numFmtId="41" fontId="110" fillId="0" borderId="26" xfId="6" applyNumberFormat="1" applyFont="1" applyBorder="1" applyAlignment="1">
      <alignment horizontal="right" vertical="center" wrapText="1"/>
    </xf>
    <xf numFmtId="41" fontId="110" fillId="0" borderId="3" xfId="6" applyNumberFormat="1" applyFont="1" applyBorder="1" applyAlignment="1">
      <alignment horizontal="right" vertical="center" wrapText="1"/>
    </xf>
    <xf numFmtId="41" fontId="111" fillId="0" borderId="26" xfId="6" applyNumberFormat="1" applyFont="1" applyFill="1" applyBorder="1" applyAlignment="1">
      <alignment horizontal="right" vertical="center" wrapText="1"/>
    </xf>
    <xf numFmtId="41" fontId="114" fillId="0" borderId="3" xfId="6" applyNumberFormat="1" applyFont="1" applyBorder="1" applyAlignment="1">
      <alignment horizontal="right" vertical="center" wrapText="1"/>
    </xf>
    <xf numFmtId="41" fontId="111" fillId="25" borderId="26" xfId="6" applyNumberFormat="1" applyFont="1" applyFill="1" applyBorder="1" applyAlignment="1">
      <alignment horizontal="right" vertical="center" wrapText="1"/>
    </xf>
    <xf numFmtId="41" fontId="110" fillId="25" borderId="26" xfId="6" applyNumberFormat="1" applyFont="1" applyFill="1" applyBorder="1" applyAlignment="1">
      <alignment horizontal="right" vertical="center" wrapText="1"/>
    </xf>
    <xf numFmtId="41" fontId="112" fillId="0" borderId="3" xfId="6" applyNumberFormat="1" applyFont="1" applyBorder="1" applyAlignment="1">
      <alignment horizontal="right" vertical="center" wrapText="1"/>
    </xf>
    <xf numFmtId="41" fontId="116" fillId="0" borderId="26" xfId="6" applyNumberFormat="1" applyFont="1" applyFill="1" applyBorder="1" applyAlignment="1">
      <alignment horizontal="right" vertical="center" wrapText="1"/>
    </xf>
    <xf numFmtId="41" fontId="117" fillId="0" borderId="33" xfId="6" applyNumberFormat="1" applyFont="1" applyFill="1" applyBorder="1" applyAlignment="1">
      <alignment horizontal="right" vertical="center" wrapText="1"/>
    </xf>
    <xf numFmtId="41" fontId="117" fillId="0" borderId="47" xfId="6" applyNumberFormat="1" applyFont="1" applyFill="1" applyBorder="1" applyAlignment="1">
      <alignment horizontal="right" vertical="center" wrapText="1"/>
    </xf>
    <xf numFmtId="41" fontId="110" fillId="9" borderId="76" xfId="6" applyNumberFormat="1" applyFont="1" applyFill="1" applyBorder="1" applyAlignment="1">
      <alignment horizontal="right" vertical="center" wrapText="1"/>
    </xf>
    <xf numFmtId="41" fontId="114" fillId="9" borderId="23" xfId="6" applyNumberFormat="1" applyFont="1" applyFill="1" applyBorder="1" applyAlignment="1">
      <alignment horizontal="right" vertical="center" wrapText="1"/>
    </xf>
    <xf numFmtId="41" fontId="116" fillId="0" borderId="26" xfId="1" applyNumberFormat="1" applyFont="1" applyBorder="1" applyAlignment="1">
      <alignment horizontal="right" vertical="center" wrapText="1"/>
    </xf>
    <xf numFmtId="41" fontId="119" fillId="0" borderId="9" xfId="6" applyNumberFormat="1" applyFont="1" applyBorder="1" applyAlignment="1">
      <alignment horizontal="right" vertical="center" wrapText="1"/>
    </xf>
    <xf numFmtId="41" fontId="119" fillId="0" borderId="3" xfId="6" applyNumberFormat="1" applyFont="1" applyBorder="1" applyAlignment="1">
      <alignment horizontal="right" vertical="center" wrapText="1"/>
    </xf>
    <xf numFmtId="41" fontId="116" fillId="0" borderId="47" xfId="1" applyNumberFormat="1" applyFont="1" applyBorder="1" applyAlignment="1">
      <alignment horizontal="right" vertical="center" wrapText="1"/>
    </xf>
    <xf numFmtId="41" fontId="118" fillId="0" borderId="26" xfId="6" applyNumberFormat="1" applyFont="1" applyBorder="1" applyAlignment="1">
      <alignment horizontal="right" vertical="center" wrapText="1"/>
    </xf>
    <xf numFmtId="41" fontId="116" fillId="0" borderId="26" xfId="6" applyNumberFormat="1" applyFont="1" applyBorder="1" applyAlignment="1">
      <alignment horizontal="right" vertical="center" wrapText="1"/>
    </xf>
    <xf numFmtId="41" fontId="116" fillId="0" borderId="21" xfId="6" applyNumberFormat="1" applyFont="1" applyBorder="1" applyAlignment="1">
      <alignment horizontal="right" vertical="center" wrapText="1"/>
    </xf>
    <xf numFmtId="41" fontId="116" fillId="0" borderId="22" xfId="6" applyNumberFormat="1" applyFont="1" applyBorder="1" applyAlignment="1">
      <alignment horizontal="right" vertical="center" wrapText="1"/>
    </xf>
    <xf numFmtId="41" fontId="114" fillId="0" borderId="9" xfId="6" applyNumberFormat="1" applyFont="1" applyBorder="1" applyAlignment="1">
      <alignment horizontal="right" vertical="center" wrapText="1"/>
    </xf>
    <xf numFmtId="41" fontId="116" fillId="0" borderId="3" xfId="6" applyNumberFormat="1" applyFont="1" applyBorder="1" applyAlignment="1">
      <alignment horizontal="right" vertical="center" wrapText="1"/>
    </xf>
    <xf numFmtId="41" fontId="116" fillId="0" borderId="33" xfId="6" applyNumberFormat="1" applyFont="1" applyBorder="1" applyAlignment="1">
      <alignment horizontal="right" vertical="center" wrapText="1"/>
    </xf>
    <xf numFmtId="41" fontId="116" fillId="0" borderId="47" xfId="6" applyNumberFormat="1" applyFont="1" applyBorder="1" applyAlignment="1">
      <alignment horizontal="right" vertical="center" wrapText="1"/>
    </xf>
    <xf numFmtId="41" fontId="114" fillId="0" borderId="9" xfId="6" applyNumberFormat="1" applyFont="1" applyFill="1" applyBorder="1" applyAlignment="1">
      <alignment horizontal="right" vertical="center" wrapText="1"/>
    </xf>
    <xf numFmtId="41" fontId="114" fillId="0" borderId="3" xfId="6" applyNumberFormat="1" applyFont="1" applyFill="1" applyBorder="1" applyAlignment="1">
      <alignment horizontal="right" vertical="center" wrapText="1"/>
    </xf>
    <xf numFmtId="41" fontId="116" fillId="0" borderId="3" xfId="6" applyNumberFormat="1" applyFont="1" applyFill="1" applyBorder="1" applyAlignment="1">
      <alignment horizontal="right" vertical="center" wrapText="1"/>
    </xf>
    <xf numFmtId="41" fontId="114" fillId="0" borderId="9" xfId="0" applyNumberFormat="1" applyFont="1" applyBorder="1" applyAlignment="1">
      <alignment horizontal="right" vertical="center" wrapText="1"/>
    </xf>
    <xf numFmtId="41" fontId="114" fillId="0" borderId="3" xfId="0" applyNumberFormat="1" applyFont="1" applyBorder="1" applyAlignment="1">
      <alignment horizontal="right" vertical="center" wrapText="1"/>
    </xf>
    <xf numFmtId="41" fontId="116" fillId="0" borderId="28" xfId="6" applyNumberFormat="1" applyFont="1" applyBorder="1" applyAlignment="1">
      <alignment horizontal="right" vertical="center" wrapText="1"/>
    </xf>
    <xf numFmtId="41" fontId="111" fillId="0" borderId="47" xfId="6" applyNumberFormat="1" applyFont="1" applyBorder="1" applyAlignment="1">
      <alignment horizontal="right" vertical="center" wrapText="1"/>
    </xf>
    <xf numFmtId="41" fontId="114" fillId="0" borderId="9" xfId="6" applyNumberFormat="1" applyFont="1" applyBorder="1" applyAlignment="1">
      <alignment horizontal="right" vertical="center" wrapText="1" indent="2"/>
    </xf>
    <xf numFmtId="41" fontId="114" fillId="0" borderId="3" xfId="6" applyNumberFormat="1" applyFont="1" applyBorder="1" applyAlignment="1">
      <alignment horizontal="right" vertical="center" wrapText="1" indent="2"/>
    </xf>
    <xf numFmtId="41" fontId="71" fillId="0" borderId="16" xfId="0" applyNumberFormat="1" applyFont="1" applyBorder="1" applyAlignment="1">
      <alignment horizontal="center" vertical="center" wrapText="1"/>
    </xf>
    <xf numFmtId="0" fontId="103" fillId="0" borderId="34" xfId="0" applyFont="1" applyBorder="1" applyAlignment="1">
      <alignment horizontal="center" vertical="center"/>
    </xf>
    <xf numFmtId="0" fontId="94" fillId="0" borderId="9" xfId="0" applyFont="1" applyFill="1" applyBorder="1" applyAlignment="1">
      <alignment vertical="center" wrapText="1"/>
    </xf>
    <xf numFmtId="41" fontId="129" fillId="0" borderId="9" xfId="0" applyNumberFormat="1" applyFont="1" applyBorder="1" applyAlignment="1">
      <alignment horizontal="right" vertical="center" wrapText="1" indent="1"/>
    </xf>
    <xf numFmtId="41" fontId="130" fillId="0" borderId="9" xfId="0" applyNumberFormat="1" applyFont="1" applyBorder="1" applyAlignment="1">
      <alignment horizontal="right" vertical="center" wrapText="1" indent="1"/>
    </xf>
    <xf numFmtId="41" fontId="131" fillId="0" borderId="9" xfId="0" applyNumberFormat="1" applyFont="1" applyBorder="1" applyAlignment="1">
      <alignment horizontal="right" vertical="center" wrapText="1" indent="1"/>
    </xf>
    <xf numFmtId="41" fontId="129" fillId="0" borderId="3" xfId="0" applyNumberFormat="1" applyFont="1" applyBorder="1" applyAlignment="1">
      <alignment horizontal="right" vertical="center" wrapText="1" indent="1"/>
    </xf>
    <xf numFmtId="41" fontId="83" fillId="0" borderId="0" xfId="0" applyNumberFormat="1" applyFont="1" applyAlignment="1">
      <alignment vertical="center" wrapText="1"/>
    </xf>
    <xf numFmtId="0" fontId="103" fillId="0" borderId="0" xfId="0" applyFont="1" applyAlignment="1">
      <alignment vertical="center"/>
    </xf>
    <xf numFmtId="0" fontId="132" fillId="0" borderId="34" xfId="0" applyFont="1" applyBorder="1" applyAlignment="1">
      <alignment horizontal="center" vertical="center"/>
    </xf>
    <xf numFmtId="0" fontId="94" fillId="0" borderId="9" xfId="5" applyFont="1" applyFill="1" applyBorder="1" applyAlignment="1">
      <alignment vertical="center" wrapText="1"/>
    </xf>
    <xf numFmtId="41" fontId="131" fillId="0" borderId="3" xfId="0" applyNumberFormat="1" applyFont="1" applyBorder="1" applyAlignment="1">
      <alignment horizontal="right" vertical="center" wrapText="1" indent="1"/>
    </xf>
    <xf numFmtId="41" fontId="95" fillId="0" borderId="10" xfId="0" applyNumberFormat="1" applyFont="1" applyBorder="1" applyAlignment="1">
      <alignment horizontal="right" vertical="center" indent="1"/>
    </xf>
    <xf numFmtId="41" fontId="95" fillId="0" borderId="0" xfId="0" applyNumberFormat="1" applyFont="1"/>
    <xf numFmtId="41" fontId="95" fillId="0" borderId="48" xfId="0" applyNumberFormat="1" applyFont="1" applyBorder="1" applyAlignment="1">
      <alignment horizontal="right" vertical="center" indent="1"/>
    </xf>
    <xf numFmtId="41" fontId="95" fillId="0" borderId="12" xfId="0" applyNumberFormat="1" applyFont="1" applyBorder="1" applyAlignment="1">
      <alignment horizontal="right" vertical="center" indent="1"/>
    </xf>
    <xf numFmtId="41" fontId="95" fillId="0" borderId="7" xfId="0" applyNumberFormat="1" applyFont="1" applyBorder="1" applyAlignment="1">
      <alignment horizontal="right" vertical="center" indent="1"/>
    </xf>
    <xf numFmtId="0" fontId="85" fillId="0" borderId="5" xfId="0" applyFont="1" applyBorder="1" applyAlignment="1">
      <alignment horizontal="center" vertical="center"/>
    </xf>
    <xf numFmtId="0" fontId="29" fillId="0" borderId="16" xfId="0" applyFont="1" applyBorder="1" applyAlignment="1">
      <alignment horizontal="center" wrapText="1"/>
    </xf>
    <xf numFmtId="41" fontId="65" fillId="0" borderId="29" xfId="0" applyNumberFormat="1" applyFont="1" applyBorder="1" applyAlignment="1">
      <alignment horizontal="center" vertical="center" wrapText="1"/>
    </xf>
    <xf numFmtId="0" fontId="66" fillId="0" borderId="34" xfId="0" applyFont="1" applyBorder="1" applyAlignment="1">
      <alignment horizontal="left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41" fontId="96" fillId="0" borderId="26" xfId="4" applyNumberFormat="1" applyFont="1" applyFill="1" applyBorder="1" applyAlignment="1">
      <alignment horizontal="right" vertical="center" wrapText="1"/>
    </xf>
    <xf numFmtId="41" fontId="65" fillId="0" borderId="35" xfId="0" applyNumberFormat="1" applyFont="1" applyBorder="1" applyAlignment="1">
      <alignment horizontal="center" vertical="center" wrapText="1"/>
    </xf>
    <xf numFmtId="41" fontId="65" fillId="3" borderId="8" xfId="4" applyNumberFormat="1" applyFont="1" applyFill="1" applyBorder="1" applyAlignment="1">
      <alignment horizontal="right" vertical="center" wrapText="1"/>
    </xf>
    <xf numFmtId="41" fontId="67" fillId="0" borderId="3" xfId="4" applyNumberFormat="1" applyFont="1" applyBorder="1" applyAlignment="1">
      <alignment horizontal="right" vertical="center" wrapText="1"/>
    </xf>
    <xf numFmtId="41" fontId="65" fillId="3" borderId="3" xfId="4" applyNumberFormat="1" applyFont="1" applyFill="1" applyBorder="1" applyAlignment="1">
      <alignment horizontal="right" vertical="center" wrapText="1"/>
    </xf>
    <xf numFmtId="41" fontId="65" fillId="0" borderId="39" xfId="4" applyNumberFormat="1" applyFont="1" applyBorder="1" applyAlignment="1">
      <alignment horizontal="right" vertical="center" wrapText="1"/>
    </xf>
    <xf numFmtId="41" fontId="65" fillId="9" borderId="3" xfId="4" applyNumberFormat="1" applyFont="1" applyFill="1" applyBorder="1" applyAlignment="1">
      <alignment horizontal="right" vertical="center" wrapText="1"/>
    </xf>
    <xf numFmtId="41" fontId="65" fillId="0" borderId="3" xfId="4" applyNumberFormat="1" applyFont="1" applyFill="1" applyBorder="1" applyAlignment="1">
      <alignment horizontal="right" vertical="center" wrapText="1"/>
    </xf>
    <xf numFmtId="41" fontId="67" fillId="0" borderId="47" xfId="4" applyNumberFormat="1" applyFont="1" applyBorder="1" applyAlignment="1">
      <alignment horizontal="right" vertical="center" wrapText="1"/>
    </xf>
    <xf numFmtId="41" fontId="65" fillId="4" borderId="23" xfId="4" applyNumberFormat="1" applyFont="1" applyFill="1" applyBorder="1" applyAlignment="1">
      <alignment horizontal="right" vertical="center" wrapText="1"/>
    </xf>
    <xf numFmtId="41" fontId="65" fillId="9" borderId="23" xfId="4" applyNumberFormat="1" applyFont="1" applyFill="1" applyBorder="1" applyAlignment="1">
      <alignment horizontal="right" vertical="center" wrapText="1"/>
    </xf>
    <xf numFmtId="41" fontId="67" fillId="25" borderId="3" xfId="4" applyNumberFormat="1" applyFont="1" applyFill="1" applyBorder="1" applyAlignment="1">
      <alignment horizontal="right" vertical="center" wrapText="1"/>
    </xf>
    <xf numFmtId="41" fontId="67" fillId="0" borderId="3" xfId="4" applyNumberFormat="1" applyFont="1" applyFill="1" applyBorder="1" applyAlignment="1">
      <alignment horizontal="right" vertical="center" wrapText="1"/>
    </xf>
    <xf numFmtId="41" fontId="67" fillId="0" borderId="0" xfId="4" applyNumberFormat="1" applyFont="1" applyFill="1" applyAlignment="1">
      <alignment horizontal="right" vertical="center" wrapText="1"/>
    </xf>
    <xf numFmtId="41" fontId="54" fillId="0" borderId="73" xfId="0" applyNumberFormat="1" applyFont="1" applyBorder="1" applyAlignment="1">
      <alignment vertical="center"/>
    </xf>
    <xf numFmtId="41" fontId="54" fillId="0" borderId="26" xfId="0" applyNumberFormat="1" applyFont="1" applyBorder="1" applyAlignment="1">
      <alignment vertical="center"/>
    </xf>
    <xf numFmtId="41" fontId="54" fillId="0" borderId="26" xfId="0" applyNumberFormat="1" applyFont="1" applyFill="1" applyBorder="1" applyAlignment="1" applyProtection="1">
      <alignment horizontal="right" vertical="center"/>
      <protection locked="0"/>
    </xf>
    <xf numFmtId="41" fontId="55" fillId="0" borderId="92" xfId="0" applyNumberFormat="1" applyFont="1" applyBorder="1" applyAlignment="1">
      <alignment vertical="center"/>
    </xf>
    <xf numFmtId="41" fontId="55" fillId="0" borderId="93" xfId="0" applyNumberFormat="1" applyFont="1" applyBorder="1" applyAlignment="1">
      <alignment vertical="center"/>
    </xf>
    <xf numFmtId="41" fontId="55" fillId="0" borderId="73" xfId="0" applyNumberFormat="1" applyFont="1" applyBorder="1" applyAlignment="1">
      <alignment vertical="center"/>
    </xf>
    <xf numFmtId="41" fontId="55" fillId="0" borderId="26" xfId="0" applyNumberFormat="1" applyFont="1" applyBorder="1" applyAlignment="1">
      <alignment vertical="center"/>
    </xf>
    <xf numFmtId="41" fontId="54" fillId="0" borderId="28" xfId="0" applyNumberFormat="1" applyFont="1" applyFill="1" applyBorder="1" applyAlignment="1" applyProtection="1">
      <alignment horizontal="right" vertical="center"/>
      <protection locked="0"/>
    </xf>
    <xf numFmtId="41" fontId="65" fillId="9" borderId="76" xfId="0" applyNumberFormat="1" applyFont="1" applyFill="1" applyBorder="1" applyAlignment="1">
      <alignment horizontal="right" vertical="center"/>
    </xf>
    <xf numFmtId="0" fontId="54" fillId="0" borderId="9" xfId="0" applyFont="1" applyBorder="1"/>
    <xf numFmtId="0" fontId="55" fillId="0" borderId="7" xfId="0" applyFont="1" applyBorder="1"/>
    <xf numFmtId="0" fontId="55" fillId="0" borderId="10" xfId="0" applyFont="1" applyBorder="1"/>
    <xf numFmtId="0" fontId="55" fillId="0" borderId="12" xfId="0" applyFont="1" applyBorder="1"/>
    <xf numFmtId="0" fontId="55" fillId="0" borderId="100" xfId="0" applyFont="1" applyBorder="1"/>
    <xf numFmtId="0" fontId="54" fillId="0" borderId="7" xfId="0" applyFont="1" applyBorder="1"/>
    <xf numFmtId="41" fontId="54" fillId="0" borderId="8" xfId="0" applyNumberFormat="1" applyFont="1" applyBorder="1"/>
    <xf numFmtId="41" fontId="54" fillId="0" borderId="3" xfId="0" applyNumberFormat="1" applyFont="1" applyBorder="1"/>
    <xf numFmtId="41" fontId="55" fillId="0" borderId="20" xfId="0" applyNumberFormat="1" applyFont="1" applyBorder="1"/>
    <xf numFmtId="41" fontId="55" fillId="0" borderId="11" xfId="0" applyNumberFormat="1" applyFont="1" applyBorder="1"/>
    <xf numFmtId="41" fontId="55" fillId="0" borderId="44" xfId="0" applyNumberFormat="1" applyFont="1" applyBorder="1"/>
    <xf numFmtId="41" fontId="55" fillId="0" borderId="47" xfId="0" applyNumberFormat="1" applyFont="1" applyBorder="1"/>
    <xf numFmtId="41" fontId="55" fillId="0" borderId="13" xfId="0" applyNumberFormat="1" applyFont="1" applyBorder="1"/>
    <xf numFmtId="41" fontId="55" fillId="0" borderId="101" xfId="0" applyNumberFormat="1" applyFont="1" applyBorder="1"/>
    <xf numFmtId="0" fontId="54" fillId="0" borderId="3" xfId="0" applyFont="1" applyBorder="1"/>
    <xf numFmtId="41" fontId="68" fillId="0" borderId="26" xfId="1" applyNumberFormat="1" applyFont="1" applyBorder="1" applyAlignment="1">
      <alignment horizontal="right" vertical="center" wrapText="1" indent="1"/>
    </xf>
    <xf numFmtId="41" fontId="133" fillId="25" borderId="26" xfId="1" applyNumberFormat="1" applyFont="1" applyFill="1" applyBorder="1" applyAlignment="1">
      <alignment horizontal="right" vertical="center" wrapText="1" indent="1"/>
    </xf>
    <xf numFmtId="41" fontId="133" fillId="0" borderId="26" xfId="1" applyNumberFormat="1" applyFont="1" applyBorder="1" applyAlignment="1">
      <alignment horizontal="right" vertical="center" wrapText="1" indent="1"/>
    </xf>
    <xf numFmtId="41" fontId="96" fillId="0" borderId="26" xfId="1" applyNumberFormat="1" applyFont="1" applyBorder="1" applyAlignment="1">
      <alignment horizontal="right" vertical="center" wrapText="1" indent="1"/>
    </xf>
    <xf numFmtId="41" fontId="128" fillId="0" borderId="9" xfId="0" applyNumberFormat="1" applyFont="1" applyBorder="1" applyAlignment="1">
      <alignment horizontal="right" vertical="center" wrapText="1"/>
    </xf>
    <xf numFmtId="41" fontId="134" fillId="0" borderId="2" xfId="0" applyNumberFormat="1" applyFont="1" applyBorder="1" applyAlignment="1">
      <alignment horizontal="right" vertical="center" wrapText="1"/>
    </xf>
    <xf numFmtId="41" fontId="134" fillId="0" borderId="26" xfId="0" applyNumberFormat="1" applyFont="1" applyBorder="1" applyAlignment="1">
      <alignment horizontal="right" vertical="center" wrapText="1"/>
    </xf>
    <xf numFmtId="41" fontId="128" fillId="0" borderId="26" xfId="0" applyNumberFormat="1" applyFont="1" applyBorder="1" applyAlignment="1">
      <alignment horizontal="right" vertical="center" wrapText="1"/>
    </xf>
    <xf numFmtId="41" fontId="135" fillId="0" borderId="26" xfId="0" applyNumberFormat="1" applyFont="1" applyBorder="1" applyAlignment="1">
      <alignment horizontal="right" vertical="center" wrapText="1"/>
    </xf>
    <xf numFmtId="41" fontId="134" fillId="0" borderId="9" xfId="0" applyNumberFormat="1" applyFont="1" applyBorder="1" applyAlignment="1">
      <alignment horizontal="right" vertical="center" wrapText="1"/>
    </xf>
    <xf numFmtId="41" fontId="134" fillId="0" borderId="21" xfId="0" applyNumberFormat="1" applyFont="1" applyBorder="1" applyAlignment="1">
      <alignment horizontal="right" vertical="center" wrapText="1"/>
    </xf>
    <xf numFmtId="41" fontId="134" fillId="0" borderId="33" xfId="0" applyNumberFormat="1" applyFont="1" applyBorder="1" applyAlignment="1">
      <alignment horizontal="right" vertical="center" wrapText="1"/>
    </xf>
    <xf numFmtId="0" fontId="136" fillId="0" borderId="0" xfId="0" applyFont="1"/>
    <xf numFmtId="41" fontId="136" fillId="0" borderId="0" xfId="0" applyNumberFormat="1" applyFont="1" applyAlignment="1">
      <alignment vertical="center"/>
    </xf>
    <xf numFmtId="0" fontId="137" fillId="0" borderId="0" xfId="0" applyFont="1" applyAlignment="1">
      <alignment vertical="center"/>
    </xf>
    <xf numFmtId="0" fontId="136" fillId="0" borderId="0" xfId="0" applyFont="1" applyAlignment="1">
      <alignment vertical="center"/>
    </xf>
    <xf numFmtId="0" fontId="138" fillId="0" borderId="0" xfId="0" applyFont="1" applyAlignment="1">
      <alignment vertical="center"/>
    </xf>
    <xf numFmtId="41" fontId="136" fillId="0" borderId="0" xfId="0" applyNumberFormat="1" applyFont="1" applyAlignment="1">
      <alignment horizontal="center"/>
    </xf>
    <xf numFmtId="41" fontId="94" fillId="0" borderId="26" xfId="0" applyNumberFormat="1" applyFont="1" applyBorder="1" applyAlignment="1">
      <alignment horizontal="right" vertical="center" wrapText="1"/>
    </xf>
    <xf numFmtId="0" fontId="85" fillId="0" borderId="30" xfId="0" applyFont="1" applyBorder="1" applyAlignment="1">
      <alignment horizontal="center" vertical="center"/>
    </xf>
    <xf numFmtId="41" fontId="54" fillId="0" borderId="9" xfId="0" applyNumberFormat="1" applyFont="1" applyBorder="1" applyAlignment="1">
      <alignment horizontal="right" vertical="center" indent="1"/>
    </xf>
    <xf numFmtId="0" fontId="92" fillId="8" borderId="83" xfId="0" applyFont="1" applyFill="1" applyBorder="1" applyAlignment="1">
      <alignment vertical="center" wrapText="1"/>
    </xf>
    <xf numFmtId="41" fontId="106" fillId="8" borderId="48" xfId="0" applyNumberFormat="1" applyFont="1" applyFill="1" applyBorder="1" applyAlignment="1" applyProtection="1">
      <alignment horizontal="right" vertical="center" wrapText="1" indent="1"/>
      <protection locked="0"/>
    </xf>
    <xf numFmtId="41" fontId="85" fillId="8" borderId="48" xfId="0" applyNumberFormat="1" applyFont="1" applyFill="1" applyBorder="1" applyAlignment="1">
      <alignment horizontal="right" vertical="center" wrapText="1" indent="1"/>
    </xf>
    <xf numFmtId="41" fontId="85" fillId="8" borderId="11" xfId="0" applyNumberFormat="1" applyFont="1" applyFill="1" applyBorder="1" applyAlignment="1">
      <alignment horizontal="right" vertical="center" wrapText="1" indent="1"/>
    </xf>
    <xf numFmtId="41" fontId="98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41" fontId="116" fillId="0" borderId="26" xfId="1" applyNumberFormat="1" applyFont="1" applyBorder="1" applyAlignment="1">
      <alignment horizontal="right" vertical="center" wrapText="1" indent="1"/>
    </xf>
    <xf numFmtId="41" fontId="119" fillId="0" borderId="9" xfId="6" applyNumberFormat="1" applyFont="1" applyBorder="1" applyAlignment="1">
      <alignment horizontal="right" vertical="center" wrapText="1" indent="1"/>
    </xf>
    <xf numFmtId="41" fontId="119" fillId="0" borderId="26" xfId="6" applyNumberFormat="1" applyFont="1" applyBorder="1" applyAlignment="1">
      <alignment horizontal="right" vertical="center" wrapText="1" indent="1"/>
    </xf>
    <xf numFmtId="41" fontId="114" fillId="0" borderId="9" xfId="6" applyNumberFormat="1" applyFont="1" applyBorder="1" applyAlignment="1">
      <alignment horizontal="right" vertical="center" wrapText="1" indent="1"/>
    </xf>
    <xf numFmtId="41" fontId="114" fillId="0" borderId="3" xfId="6" applyNumberFormat="1" applyFont="1" applyBorder="1" applyAlignment="1">
      <alignment horizontal="right" vertical="center" wrapText="1" indent="1"/>
    </xf>
    <xf numFmtId="41" fontId="116" fillId="0" borderId="28" xfId="1" applyNumberFormat="1" applyFont="1" applyBorder="1" applyAlignment="1">
      <alignment horizontal="right" vertical="center" wrapText="1" indent="1"/>
    </xf>
    <xf numFmtId="41" fontId="116" fillId="0" borderId="21" xfId="6" applyNumberFormat="1" applyFont="1" applyBorder="1" applyAlignment="1">
      <alignment horizontal="right" vertical="center" wrapText="1" indent="1"/>
    </xf>
    <xf numFmtId="41" fontId="114" fillId="0" borderId="22" xfId="6" applyNumberFormat="1" applyFont="1" applyBorder="1" applyAlignment="1">
      <alignment horizontal="right" vertical="center" wrapText="1" indent="1"/>
    </xf>
    <xf numFmtId="41" fontId="85" fillId="0" borderId="78" xfId="0" applyNumberFormat="1" applyFont="1" applyBorder="1" applyAlignment="1">
      <alignment horizontal="right" vertical="center" wrapText="1"/>
    </xf>
    <xf numFmtId="41" fontId="84" fillId="0" borderId="78" xfId="0" applyNumberFormat="1" applyFont="1" applyBorder="1" applyAlignment="1">
      <alignment horizontal="right" vertical="center" wrapText="1"/>
    </xf>
    <xf numFmtId="41" fontId="84" fillId="0" borderId="81" xfId="0" applyNumberFormat="1" applyFont="1" applyBorder="1" applyAlignment="1">
      <alignment horizontal="right" vertical="center" wrapText="1"/>
    </xf>
    <xf numFmtId="41" fontId="85" fillId="0" borderId="9" xfId="0" applyNumberFormat="1" applyFont="1" applyBorder="1" applyAlignment="1">
      <alignment vertical="center" wrapText="1"/>
    </xf>
    <xf numFmtId="41" fontId="106" fillId="0" borderId="9" xfId="0" applyNumberFormat="1" applyFont="1" applyFill="1" applyBorder="1" applyAlignment="1" applyProtection="1">
      <alignment horizontal="right" vertical="center" wrapText="1"/>
      <protection locked="0"/>
    </xf>
    <xf numFmtId="41" fontId="85" fillId="0" borderId="19" xfId="0" applyNumberFormat="1" applyFont="1" applyBorder="1" applyAlignment="1">
      <alignment horizontal="right" vertical="center" wrapText="1"/>
    </xf>
    <xf numFmtId="41" fontId="85" fillId="0" borderId="47" xfId="0" applyNumberFormat="1" applyFont="1" applyBorder="1" applyAlignment="1">
      <alignment horizontal="right" vertical="center" wrapText="1" indent="2"/>
    </xf>
    <xf numFmtId="0" fontId="85" fillId="8" borderId="95" xfId="0" applyFont="1" applyFill="1" applyBorder="1" applyAlignment="1">
      <alignment horizontal="center" vertical="center"/>
    </xf>
    <xf numFmtId="41" fontId="92" fillId="0" borderId="9" xfId="0" applyNumberFormat="1" applyFont="1" applyBorder="1" applyAlignment="1">
      <alignment vertical="center" wrapText="1"/>
    </xf>
    <xf numFmtId="41" fontId="92" fillId="0" borderId="9" xfId="0" applyNumberFormat="1" applyFont="1" applyBorder="1" applyAlignment="1">
      <alignment horizontal="right" vertical="center" wrapText="1" indent="1"/>
    </xf>
    <xf numFmtId="41" fontId="85" fillId="0" borderId="3" xfId="0" applyNumberFormat="1" applyFont="1" applyBorder="1" applyAlignment="1">
      <alignment horizontal="right" vertical="center" wrapText="1" indent="2"/>
    </xf>
    <xf numFmtId="41" fontId="106" fillId="0" borderId="9" xfId="0" applyNumberFormat="1" applyFont="1" applyFill="1" applyBorder="1" applyAlignment="1" applyProtection="1">
      <alignment horizontal="center" vertical="center" wrapText="1"/>
      <protection locked="0"/>
    </xf>
    <xf numFmtId="41" fontId="85" fillId="0" borderId="9" xfId="0" applyNumberFormat="1" applyFont="1" applyBorder="1" applyAlignment="1">
      <alignment horizontal="center" vertical="center" wrapText="1"/>
    </xf>
    <xf numFmtId="0" fontId="85" fillId="0" borderId="33" xfId="0" applyFont="1" applyBorder="1" applyAlignment="1">
      <alignment vertical="center" wrapText="1"/>
    </xf>
    <xf numFmtId="0" fontId="85" fillId="8" borderId="30" xfId="0" applyFont="1" applyFill="1" applyBorder="1" applyAlignment="1">
      <alignment horizontal="center" vertical="center"/>
    </xf>
    <xf numFmtId="41" fontId="114" fillId="0" borderId="26" xfId="6" applyNumberFormat="1" applyFont="1" applyBorder="1" applyAlignment="1">
      <alignment horizontal="right" vertical="center" wrapText="1" indent="1"/>
    </xf>
    <xf numFmtId="41" fontId="106" fillId="0" borderId="9" xfId="0" applyNumberFormat="1" applyFont="1" applyFill="1" applyBorder="1" applyAlignment="1" applyProtection="1">
      <alignment vertical="center" wrapText="1"/>
      <protection locked="0"/>
    </xf>
    <xf numFmtId="41" fontId="85" fillId="25" borderId="9" xfId="0" applyNumberFormat="1" applyFont="1" applyFill="1" applyBorder="1" applyAlignment="1">
      <alignment horizontal="center" vertical="center" wrapText="1"/>
    </xf>
    <xf numFmtId="41" fontId="85" fillId="0" borderId="26" xfId="0" applyNumberFormat="1" applyFont="1" applyBorder="1" applyAlignment="1">
      <alignment horizontal="center" vertical="center" wrapText="1"/>
    </xf>
    <xf numFmtId="49" fontId="93" fillId="0" borderId="36" xfId="0" applyNumberFormat="1" applyFont="1" applyBorder="1" applyAlignment="1">
      <alignment horizontal="center" vertical="center"/>
    </xf>
    <xf numFmtId="0" fontId="92" fillId="0" borderId="102" xfId="0" applyFont="1" applyBorder="1" applyAlignment="1">
      <alignment vertical="center" wrapText="1"/>
    </xf>
    <xf numFmtId="41" fontId="92" fillId="0" borderId="28" xfId="0" applyNumberFormat="1" applyFont="1" applyBorder="1" applyAlignment="1">
      <alignment horizontal="right" vertical="center" wrapText="1"/>
    </xf>
    <xf numFmtId="41" fontId="93" fillId="0" borderId="22" xfId="0" applyNumberFormat="1" applyFont="1" applyBorder="1" applyAlignment="1">
      <alignment horizontal="right" vertical="center" wrapText="1"/>
    </xf>
    <xf numFmtId="0" fontId="65" fillId="0" borderId="25" xfId="0" applyFont="1" applyBorder="1" applyAlignment="1">
      <alignment horizontal="center" vertical="center" wrapText="1"/>
    </xf>
    <xf numFmtId="49" fontId="65" fillId="0" borderId="6" xfId="0" applyNumberFormat="1" applyFont="1" applyBorder="1" applyAlignment="1">
      <alignment horizontal="center" vertical="center" wrapText="1"/>
    </xf>
    <xf numFmtId="0" fontId="92" fillId="3" borderId="16" xfId="6" applyFont="1" applyFill="1" applyBorder="1" applyAlignment="1">
      <alignment vertical="center" wrapText="1"/>
    </xf>
    <xf numFmtId="49" fontId="92" fillId="3" borderId="25" xfId="6" applyNumberFormat="1" applyFont="1" applyFill="1" applyBorder="1" applyAlignment="1">
      <alignment horizontal="center" vertical="center"/>
    </xf>
    <xf numFmtId="0" fontId="92" fillId="0" borderId="34" xfId="0" applyFont="1" applyBorder="1" applyAlignment="1">
      <alignment horizontal="center" vertical="center"/>
    </xf>
    <xf numFmtId="41" fontId="92" fillId="0" borderId="3" xfId="0" applyNumberFormat="1" applyFont="1" applyBorder="1" applyAlignment="1">
      <alignment horizontal="right" vertical="center" wrapText="1" indent="1"/>
    </xf>
    <xf numFmtId="41" fontId="98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41" fontId="92" fillId="0" borderId="3" xfId="1" applyNumberFormat="1" applyFont="1" applyBorder="1" applyAlignment="1">
      <alignment horizontal="right" vertical="center" wrapText="1" indent="1"/>
    </xf>
    <xf numFmtId="41" fontId="54" fillId="0" borderId="3" xfId="0" applyNumberFormat="1" applyFont="1" applyBorder="1" applyAlignment="1">
      <alignment vertical="center"/>
    </xf>
    <xf numFmtId="41" fontId="24" fillId="0" borderId="26" xfId="0" applyNumberFormat="1" applyFont="1" applyBorder="1" applyAlignment="1">
      <alignment vertical="center"/>
    </xf>
    <xf numFmtId="41" fontId="23" fillId="6" borderId="19" xfId="0" applyNumberFormat="1" applyFont="1" applyFill="1" applyBorder="1" applyAlignment="1">
      <alignment horizontal="right" vertical="center" wrapText="1" indent="1"/>
    </xf>
    <xf numFmtId="41" fontId="23" fillId="25" borderId="19" xfId="0" applyNumberFormat="1" applyFont="1" applyFill="1" applyBorder="1" applyAlignment="1">
      <alignment horizontal="right" vertical="center" wrapText="1" indent="1"/>
    </xf>
    <xf numFmtId="3" fontId="67" fillId="9" borderId="78" xfId="0" applyNumberFormat="1" applyFont="1" applyFill="1" applyBorder="1" applyAlignment="1">
      <alignment horizontal="right" vertical="center" indent="1"/>
    </xf>
    <xf numFmtId="41" fontId="67" fillId="0" borderId="99" xfId="0" applyNumberFormat="1" applyFont="1" applyBorder="1" applyAlignment="1">
      <alignment horizontal="right" vertical="center" wrapText="1" indent="1"/>
    </xf>
    <xf numFmtId="41" fontId="65" fillId="9" borderId="76" xfId="0" applyNumberFormat="1" applyFont="1" applyFill="1" applyBorder="1" applyAlignment="1">
      <alignment horizontal="right" vertical="center" wrapText="1" indent="1"/>
    </xf>
    <xf numFmtId="0" fontId="66" fillId="9" borderId="53" xfId="0" applyFont="1" applyFill="1" applyBorder="1" applyAlignment="1">
      <alignment horizontal="left" vertical="center" wrapText="1"/>
    </xf>
    <xf numFmtId="0" fontId="65" fillId="0" borderId="25" xfId="0" applyFont="1" applyBorder="1" applyAlignment="1">
      <alignment horizontal="left" vertical="center" wrapText="1"/>
    </xf>
    <xf numFmtId="0" fontId="85" fillId="0" borderId="71" xfId="0" applyFont="1" applyFill="1" applyBorder="1" applyAlignment="1">
      <alignment horizontal="center" vertical="center"/>
    </xf>
    <xf numFmtId="41" fontId="85" fillId="0" borderId="32" xfId="0" applyNumberFormat="1" applyFont="1" applyFill="1" applyBorder="1" applyAlignment="1">
      <alignment horizontal="left" vertical="center" wrapText="1"/>
    </xf>
    <xf numFmtId="41" fontId="85" fillId="0" borderId="19" xfId="1" applyNumberFormat="1" applyFont="1" applyBorder="1" applyAlignment="1">
      <alignment horizontal="right" vertical="center" wrapText="1" indent="1"/>
    </xf>
    <xf numFmtId="41" fontId="85" fillId="0" borderId="48" xfId="1" applyNumberFormat="1" applyFont="1" applyBorder="1" applyAlignment="1">
      <alignment horizontal="right" vertical="center" wrapText="1" indent="1"/>
    </xf>
    <xf numFmtId="41" fontId="84" fillId="0" borderId="48" xfId="0" applyNumberFormat="1" applyFont="1" applyBorder="1" applyAlignment="1">
      <alignment horizontal="right" vertical="center" wrapText="1" indent="1"/>
    </xf>
    <xf numFmtId="41" fontId="85" fillId="0" borderId="47" xfId="0" applyNumberFormat="1" applyFont="1" applyBorder="1" applyAlignment="1">
      <alignment horizontal="right" vertical="center" wrapText="1" indent="1"/>
    </xf>
    <xf numFmtId="41" fontId="66" fillId="0" borderId="0" xfId="0" applyNumberFormat="1" applyFont="1" applyAlignment="1">
      <alignment horizontal="right" vertical="center" wrapText="1"/>
    </xf>
    <xf numFmtId="41" fontId="65" fillId="0" borderId="16" xfId="0" applyNumberFormat="1" applyFont="1" applyBorder="1" applyAlignment="1">
      <alignment horizontal="right" vertical="center" wrapText="1" indent="1"/>
    </xf>
    <xf numFmtId="3" fontId="67" fillId="0" borderId="99" xfId="0" applyNumberFormat="1" applyFont="1" applyBorder="1" applyAlignment="1">
      <alignment horizontal="right" vertical="center" indent="1"/>
    </xf>
    <xf numFmtId="41" fontId="98" fillId="0" borderId="26" xfId="0" applyNumberFormat="1" applyFont="1" applyBorder="1" applyAlignment="1">
      <alignment horizontal="right" vertical="center" wrapText="1"/>
    </xf>
    <xf numFmtId="41" fontId="106" fillId="0" borderId="26" xfId="0" applyNumberFormat="1" applyFont="1" applyBorder="1" applyAlignment="1">
      <alignment horizontal="right" vertical="center" wrapText="1"/>
    </xf>
    <xf numFmtId="49" fontId="84" fillId="0" borderId="19" xfId="0" applyNumberFormat="1" applyFont="1" applyBorder="1" applyAlignment="1">
      <alignment horizontal="left" vertical="center" wrapText="1" indent="1"/>
    </xf>
    <xf numFmtId="0" fontId="84" fillId="0" borderId="9" xfId="0" applyFont="1" applyBorder="1" applyAlignment="1">
      <alignment vertical="center"/>
    </xf>
    <xf numFmtId="41" fontId="84" fillId="0" borderId="0" xfId="0" applyNumberFormat="1" applyFont="1" applyBorder="1" applyAlignment="1">
      <alignment vertical="center"/>
    </xf>
    <xf numFmtId="49" fontId="84" fillId="0" borderId="48" xfId="0" applyNumberFormat="1" applyFont="1" applyBorder="1" applyAlignment="1">
      <alignment horizontal="left" vertical="center" wrapText="1" indent="1"/>
    </xf>
    <xf numFmtId="41" fontId="85" fillId="0" borderId="99" xfId="0" applyNumberFormat="1" applyFont="1" applyBorder="1" applyAlignment="1">
      <alignment horizontal="right" vertical="center" wrapText="1"/>
    </xf>
    <xf numFmtId="41" fontId="84" fillId="0" borderId="99" xfId="0" applyNumberFormat="1" applyFont="1" applyBorder="1" applyAlignment="1">
      <alignment horizontal="right" vertical="center" wrapText="1"/>
    </xf>
    <xf numFmtId="0" fontId="54" fillId="0" borderId="19" xfId="0" applyFont="1" applyBorder="1" applyAlignment="1">
      <alignment vertical="center"/>
    </xf>
    <xf numFmtId="41" fontId="64" fillId="25" borderId="19" xfId="6" applyNumberFormat="1" applyFont="1" applyFill="1" applyBorder="1" applyAlignment="1">
      <alignment horizontal="right" vertical="center" indent="1"/>
    </xf>
    <xf numFmtId="41" fontId="54" fillId="0" borderId="19" xfId="0" applyNumberFormat="1" applyFont="1" applyBorder="1" applyAlignment="1">
      <alignment horizontal="right" vertical="center" indent="1"/>
    </xf>
    <xf numFmtId="41" fontId="64" fillId="25" borderId="19" xfId="1" applyNumberFormat="1" applyFont="1" applyFill="1" applyBorder="1" applyAlignment="1">
      <alignment horizontal="right" vertical="center" indent="1"/>
    </xf>
    <xf numFmtId="41" fontId="63" fillId="3" borderId="16" xfId="1" applyNumberFormat="1" applyFont="1" applyFill="1" applyBorder="1" applyAlignment="1">
      <alignment horizontal="right" vertical="center" indent="1"/>
    </xf>
    <xf numFmtId="41" fontId="63" fillId="3" borderId="23" xfId="1" applyNumberFormat="1" applyFont="1" applyFill="1" applyBorder="1" applyAlignment="1">
      <alignment horizontal="right" vertical="center" indent="1"/>
    </xf>
    <xf numFmtId="41" fontId="98" fillId="9" borderId="76" xfId="0" applyNumberFormat="1" applyFont="1" applyFill="1" applyBorder="1" applyAlignment="1">
      <alignment horizontal="right" vertical="center" wrapText="1"/>
    </xf>
    <xf numFmtId="41" fontId="98" fillId="0" borderId="72" xfId="0" applyNumberFormat="1" applyFont="1" applyBorder="1" applyAlignment="1">
      <alignment horizontal="right" vertical="center" wrapText="1"/>
    </xf>
    <xf numFmtId="41" fontId="130" fillId="0" borderId="26" xfId="0" applyNumberFormat="1" applyFont="1" applyBorder="1" applyAlignment="1">
      <alignment horizontal="right" vertical="center" wrapText="1"/>
    </xf>
    <xf numFmtId="49" fontId="93" fillId="9" borderId="1" xfId="0" applyNumberFormat="1" applyFont="1" applyFill="1" applyBorder="1" applyAlignment="1">
      <alignment horizontal="center" vertical="center"/>
    </xf>
    <xf numFmtId="41" fontId="92" fillId="9" borderId="73" xfId="0" applyNumberFormat="1" applyFont="1" applyFill="1" applyBorder="1" applyAlignment="1">
      <alignment horizontal="right" vertical="center" wrapText="1"/>
    </xf>
    <xf numFmtId="49" fontId="93" fillId="0" borderId="1" xfId="0" applyNumberFormat="1" applyFont="1" applyFill="1" applyBorder="1" applyAlignment="1">
      <alignment horizontal="center" vertical="center"/>
    </xf>
    <xf numFmtId="0" fontId="92" fillId="0" borderId="7" xfId="0" applyFont="1" applyFill="1" applyBorder="1" applyAlignment="1">
      <alignment vertical="center"/>
    </xf>
    <xf numFmtId="41" fontId="92" fillId="0" borderId="73" xfId="0" applyNumberFormat="1" applyFont="1" applyFill="1" applyBorder="1" applyAlignment="1">
      <alignment horizontal="right" vertical="center" wrapText="1"/>
    </xf>
    <xf numFmtId="41" fontId="93" fillId="0" borderId="8" xfId="0" applyNumberFormat="1" applyFont="1" applyFill="1" applyBorder="1" applyAlignment="1">
      <alignment horizontal="right" vertical="center" wrapText="1"/>
    </xf>
    <xf numFmtId="41" fontId="84" fillId="9" borderId="8" xfId="0" applyNumberFormat="1" applyFont="1" applyFill="1" applyBorder="1" applyAlignment="1">
      <alignment horizontal="right" vertical="center" wrapText="1"/>
    </xf>
    <xf numFmtId="49" fontId="98" fillId="9" borderId="7" xfId="0" applyNumberFormat="1" applyFont="1" applyFill="1" applyBorder="1" applyAlignment="1">
      <alignment horizontal="left" vertical="center" wrapText="1" indent="1"/>
    </xf>
    <xf numFmtId="41" fontId="93" fillId="9" borderId="73" xfId="0" applyNumberFormat="1" applyFont="1" applyFill="1" applyBorder="1" applyAlignment="1">
      <alignment horizontal="right" vertical="center" wrapText="1"/>
    </xf>
    <xf numFmtId="41" fontId="106" fillId="0" borderId="7" xfId="0" applyNumberFormat="1" applyFont="1" applyFill="1" applyBorder="1" applyAlignment="1" applyProtection="1">
      <alignment horizontal="center" vertical="center" wrapText="1"/>
      <protection locked="0"/>
    </xf>
    <xf numFmtId="41" fontId="88" fillId="0" borderId="9" xfId="4" applyNumberFormat="1" applyFont="1" applyFill="1" applyBorder="1" applyAlignment="1">
      <alignment horizontal="right" vertical="center" wrapText="1"/>
    </xf>
    <xf numFmtId="0" fontId="103" fillId="0" borderId="5" xfId="0" applyFont="1" applyBorder="1" applyAlignment="1">
      <alignment horizontal="center" vertical="center"/>
    </xf>
    <xf numFmtId="0" fontId="103" fillId="0" borderId="4" xfId="0" applyFont="1" applyBorder="1" applyAlignment="1">
      <alignment horizontal="center" vertical="center"/>
    </xf>
    <xf numFmtId="0" fontId="132" fillId="0" borderId="1" xfId="0" applyFont="1" applyBorder="1" applyAlignment="1">
      <alignment horizontal="center" vertical="center"/>
    </xf>
    <xf numFmtId="0" fontId="132" fillId="0" borderId="4" xfId="0" applyFont="1" applyBorder="1" applyAlignment="1">
      <alignment horizontal="center" vertical="center"/>
    </xf>
    <xf numFmtId="164" fontId="54" fillId="0" borderId="50" xfId="1" applyNumberFormat="1" applyFont="1" applyBorder="1" applyAlignment="1">
      <alignment horizontal="center" vertical="center"/>
    </xf>
    <xf numFmtId="164" fontId="54" fillId="0" borderId="2" xfId="1" applyNumberFormat="1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164" fontId="29" fillId="0" borderId="27" xfId="1" applyNumberFormat="1" applyFont="1" applyBorder="1" applyAlignment="1">
      <alignment horizontal="center" vertical="center"/>
    </xf>
    <xf numFmtId="41" fontId="54" fillId="0" borderId="17" xfId="0" applyNumberFormat="1" applyFont="1" applyBorder="1" applyAlignment="1">
      <alignment vertical="center"/>
    </xf>
    <xf numFmtId="41" fontId="54" fillId="0" borderId="7" xfId="0" applyNumberFormat="1" applyFont="1" applyBorder="1" applyAlignment="1">
      <alignment vertical="center"/>
    </xf>
    <xf numFmtId="41" fontId="29" fillId="0" borderId="21" xfId="0" applyNumberFormat="1" applyFont="1" applyBorder="1" applyAlignment="1">
      <alignment vertical="center"/>
    </xf>
    <xf numFmtId="49" fontId="84" fillId="0" borderId="4" xfId="0" applyNumberFormat="1" applyFont="1" applyBorder="1" applyAlignment="1">
      <alignment horizontal="center" vertical="center"/>
    </xf>
    <xf numFmtId="41" fontId="84" fillId="0" borderId="11" xfId="0" applyNumberFormat="1" applyFont="1" applyBorder="1" applyAlignment="1">
      <alignment horizontal="right" vertical="center" wrapText="1"/>
    </xf>
    <xf numFmtId="49" fontId="85" fillId="0" borderId="21" xfId="0" applyNumberFormat="1" applyFont="1" applyBorder="1" applyAlignment="1">
      <alignment horizontal="left" vertical="center" indent="1"/>
    </xf>
    <xf numFmtId="41" fontId="84" fillId="0" borderId="28" xfId="0" applyNumberFormat="1" applyFont="1" applyBorder="1" applyAlignment="1">
      <alignment horizontal="right" vertical="center" wrapText="1"/>
    </xf>
    <xf numFmtId="41" fontId="9" fillId="0" borderId="0" xfId="0" applyNumberFormat="1" applyFont="1" applyAlignment="1">
      <alignment vertical="center"/>
    </xf>
    <xf numFmtId="3" fontId="67" fillId="9" borderId="78" xfId="0" applyNumberFormat="1" applyFont="1" applyFill="1" applyBorder="1" applyAlignment="1">
      <alignment horizontal="right" vertical="center" indent="1"/>
    </xf>
    <xf numFmtId="3" fontId="51" fillId="0" borderId="0" xfId="4" applyNumberFormat="1" applyFont="1" applyBorder="1" applyAlignment="1">
      <alignment horizontal="center" vertical="center"/>
    </xf>
    <xf numFmtId="41" fontId="65" fillId="0" borderId="99" xfId="0" applyNumberFormat="1" applyFont="1" applyBorder="1" applyAlignment="1">
      <alignment horizontal="right" vertical="center" wrapText="1" indent="1"/>
    </xf>
    <xf numFmtId="41" fontId="86" fillId="3" borderId="49" xfId="4" applyNumberFormat="1" applyFont="1" applyFill="1" applyBorder="1" applyAlignment="1">
      <alignment horizontal="right" vertical="center" wrapText="1" indent="1"/>
    </xf>
    <xf numFmtId="41" fontId="88" fillId="0" borderId="49" xfId="4" applyNumberFormat="1" applyFont="1" applyBorder="1" applyAlignment="1">
      <alignment horizontal="right" vertical="center" wrapText="1" indent="1"/>
    </xf>
    <xf numFmtId="0" fontId="86" fillId="0" borderId="40" xfId="5" applyFont="1" applyBorder="1" applyAlignment="1">
      <alignment horizontal="center" vertical="center" wrapText="1"/>
    </xf>
    <xf numFmtId="0" fontId="86" fillId="0" borderId="56" xfId="5" applyFont="1" applyBorder="1" applyAlignment="1">
      <alignment horizontal="center" vertical="center" wrapText="1"/>
    </xf>
    <xf numFmtId="41" fontId="86" fillId="3" borderId="2" xfId="4" applyNumberFormat="1" applyFont="1" applyFill="1" applyBorder="1" applyAlignment="1">
      <alignment horizontal="right" vertical="center" wrapText="1" indent="1"/>
    </xf>
    <xf numFmtId="41" fontId="88" fillId="0" borderId="2" xfId="4" applyNumberFormat="1" applyFont="1" applyBorder="1" applyAlignment="1">
      <alignment horizontal="right" vertical="center" wrapText="1" indent="1"/>
    </xf>
    <xf numFmtId="41" fontId="54" fillId="0" borderId="2" xfId="1" applyNumberFormat="1" applyFont="1" applyBorder="1" applyAlignment="1">
      <alignment horizontal="right" vertical="center" indent="1"/>
    </xf>
    <xf numFmtId="41" fontId="63" fillId="9" borderId="53" xfId="1" applyNumberFormat="1" applyFont="1" applyFill="1" applyBorder="1" applyAlignment="1">
      <alignment horizontal="right" vertical="center" indent="1"/>
    </xf>
    <xf numFmtId="41" fontId="75" fillId="9" borderId="53" xfId="1" applyNumberFormat="1" applyFont="1" applyFill="1" applyBorder="1" applyAlignment="1">
      <alignment horizontal="right" vertical="center" indent="1"/>
    </xf>
    <xf numFmtId="41" fontId="29" fillId="9" borderId="97" xfId="1" applyNumberFormat="1" applyFont="1" applyFill="1" applyBorder="1" applyAlignment="1">
      <alignment horizontal="right" vertical="center" indent="1"/>
    </xf>
    <xf numFmtId="164" fontId="29" fillId="9" borderId="53" xfId="1" applyNumberFormat="1" applyFont="1" applyFill="1" applyBorder="1" applyAlignment="1">
      <alignment vertical="center"/>
    </xf>
    <xf numFmtId="1" fontId="54" fillId="9" borderId="81" xfId="50" applyNumberFormat="1" applyFont="1" applyFill="1" applyBorder="1" applyAlignment="1">
      <alignment vertical="center"/>
    </xf>
    <xf numFmtId="41" fontId="54" fillId="0" borderId="9" xfId="1" applyNumberFormat="1" applyFont="1" applyBorder="1" applyAlignment="1">
      <alignment horizontal="right" vertical="center" indent="1"/>
    </xf>
    <xf numFmtId="0" fontId="63" fillId="0" borderId="21" xfId="6" applyFont="1" applyBorder="1" applyAlignment="1">
      <alignment horizontal="center" vertical="center" wrapText="1"/>
    </xf>
    <xf numFmtId="0" fontId="63" fillId="0" borderId="9" xfId="6" applyFont="1" applyBorder="1" applyAlignment="1">
      <alignment horizontal="center" vertical="center" wrapText="1"/>
    </xf>
    <xf numFmtId="0" fontId="29" fillId="0" borderId="52" xfId="0" applyFont="1" applyBorder="1" applyAlignment="1">
      <alignment horizontal="center" vertical="center"/>
    </xf>
    <xf numFmtId="0" fontId="29" fillId="0" borderId="23" xfId="0" applyFont="1" applyBorder="1" applyAlignment="1">
      <alignment horizontal="center" vertical="center" wrapText="1"/>
    </xf>
    <xf numFmtId="41" fontId="116" fillId="0" borderId="26" xfId="6" applyNumberFormat="1" applyFont="1" applyBorder="1" applyAlignment="1">
      <alignment horizontal="center" vertical="center" wrapText="1"/>
    </xf>
    <xf numFmtId="41" fontId="114" fillId="0" borderId="9" xfId="6" applyNumberFormat="1" applyFont="1" applyBorder="1" applyAlignment="1">
      <alignment horizontal="center" vertical="center" wrapText="1"/>
    </xf>
    <xf numFmtId="41" fontId="116" fillId="25" borderId="26" xfId="6" applyNumberFormat="1" applyFont="1" applyFill="1" applyBorder="1" applyAlignment="1">
      <alignment horizontal="center" vertical="center" wrapText="1"/>
    </xf>
    <xf numFmtId="41" fontId="115" fillId="0" borderId="26" xfId="6" applyNumberFormat="1" applyFont="1" applyBorder="1" applyAlignment="1">
      <alignment horizontal="center" vertical="center" wrapText="1"/>
    </xf>
    <xf numFmtId="41" fontId="116" fillId="0" borderId="28" xfId="6" applyNumberFormat="1" applyFont="1" applyBorder="1" applyAlignment="1">
      <alignment horizontal="center" vertical="center" wrapText="1"/>
    </xf>
    <xf numFmtId="41" fontId="116" fillId="0" borderId="26" xfId="6" applyNumberFormat="1" applyFont="1" applyFill="1" applyBorder="1" applyAlignment="1">
      <alignment horizontal="center" vertical="center" wrapText="1"/>
    </xf>
    <xf numFmtId="41" fontId="116" fillId="0" borderId="33" xfId="6" applyNumberFormat="1" applyFont="1" applyBorder="1" applyAlignment="1">
      <alignment horizontal="center" vertical="center" wrapText="1"/>
    </xf>
    <xf numFmtId="41" fontId="114" fillId="0" borderId="9" xfId="1" applyNumberFormat="1" applyFont="1" applyBorder="1" applyAlignment="1">
      <alignment horizontal="center" vertical="center" wrapText="1"/>
    </xf>
    <xf numFmtId="41" fontId="111" fillId="0" borderId="26" xfId="6" applyNumberFormat="1" applyFont="1" applyBorder="1" applyAlignment="1">
      <alignment horizontal="center" vertical="center" wrapText="1"/>
    </xf>
    <xf numFmtId="41" fontId="111" fillId="0" borderId="33" xfId="6" applyNumberFormat="1" applyFont="1" applyBorder="1" applyAlignment="1">
      <alignment horizontal="center" vertical="center" wrapText="1"/>
    </xf>
    <xf numFmtId="41" fontId="114" fillId="0" borderId="9" xfId="0" applyNumberFormat="1" applyFont="1" applyBorder="1" applyAlignment="1">
      <alignment horizontal="center" vertical="center" wrapText="1"/>
    </xf>
    <xf numFmtId="41" fontId="118" fillId="0" borderId="26" xfId="6" applyNumberFormat="1" applyFont="1" applyBorder="1" applyAlignment="1">
      <alignment horizontal="center" vertical="center" wrapText="1"/>
    </xf>
    <xf numFmtId="41" fontId="116" fillId="0" borderId="21" xfId="6" applyNumberFormat="1" applyFont="1" applyBorder="1" applyAlignment="1">
      <alignment horizontal="center" vertical="center" wrapText="1"/>
    </xf>
    <xf numFmtId="41" fontId="116" fillId="0" borderId="26" xfId="1" applyNumberFormat="1" applyFont="1" applyBorder="1" applyAlignment="1">
      <alignment horizontal="center" vertical="center" wrapText="1"/>
    </xf>
    <xf numFmtId="41" fontId="119" fillId="0" borderId="9" xfId="6" applyNumberFormat="1" applyFont="1" applyBorder="1" applyAlignment="1">
      <alignment horizontal="center" vertical="center" wrapText="1"/>
    </xf>
    <xf numFmtId="41" fontId="116" fillId="0" borderId="33" xfId="1" applyNumberFormat="1" applyFont="1" applyBorder="1" applyAlignment="1">
      <alignment horizontal="center" vertical="center" wrapText="1"/>
    </xf>
    <xf numFmtId="0" fontId="85" fillId="0" borderId="9" xfId="0" applyFont="1" applyBorder="1" applyAlignment="1">
      <alignment horizontal="center" vertical="center"/>
    </xf>
    <xf numFmtId="41" fontId="54" fillId="0" borderId="9" xfId="0" applyNumberFormat="1" applyFont="1" applyBorder="1" applyAlignment="1">
      <alignment horizontal="center" vertical="center"/>
    </xf>
    <xf numFmtId="41" fontId="54" fillId="0" borderId="17" xfId="0" applyNumberFormat="1" applyFont="1" applyBorder="1" applyAlignment="1">
      <alignment horizontal="center" vertical="center"/>
    </xf>
    <xf numFmtId="41" fontId="116" fillId="0" borderId="26" xfId="6" applyNumberFormat="1" applyFont="1" applyFill="1" applyBorder="1" applyAlignment="1">
      <alignment vertical="center" wrapText="1"/>
    </xf>
    <xf numFmtId="41" fontId="106" fillId="0" borderId="9" xfId="0" applyNumberFormat="1" applyFont="1" applyBorder="1" applyAlignment="1">
      <alignment horizontal="right" vertical="center" wrapText="1"/>
    </xf>
    <xf numFmtId="3" fontId="64" fillId="0" borderId="5" xfId="6" applyNumberFormat="1" applyFont="1" applyBorder="1" applyAlignment="1">
      <alignment horizontal="center" vertical="center"/>
    </xf>
    <xf numFmtId="41" fontId="54" fillId="0" borderId="47" xfId="0" applyNumberFormat="1" applyFont="1" applyBorder="1" applyAlignment="1">
      <alignment vertical="center"/>
    </xf>
    <xf numFmtId="0" fontId="92" fillId="9" borderId="95" xfId="0" applyFont="1" applyFill="1" applyBorder="1" applyAlignment="1">
      <alignment horizontal="center" vertical="center"/>
    </xf>
    <xf numFmtId="0" fontId="85" fillId="0" borderId="19" xfId="0" applyFont="1" applyBorder="1" applyAlignment="1">
      <alignment horizontal="left" vertical="center" wrapText="1" indent="1"/>
    </xf>
    <xf numFmtId="0" fontId="92" fillId="9" borderId="25" xfId="0" applyFont="1" applyFill="1" applyBorder="1" applyAlignment="1">
      <alignment vertical="center" wrapText="1"/>
    </xf>
    <xf numFmtId="41" fontId="92" fillId="9" borderId="23" xfId="0" applyNumberFormat="1" applyFont="1" applyFill="1" applyBorder="1" applyAlignment="1">
      <alignment horizontal="right" vertical="center" indent="1"/>
    </xf>
    <xf numFmtId="3" fontId="67" fillId="9" borderId="78" xfId="0" applyNumberFormat="1" applyFont="1" applyFill="1" applyBorder="1" applyAlignment="1">
      <alignment horizontal="right" vertical="center" indent="1"/>
    </xf>
    <xf numFmtId="0" fontId="29" fillId="0" borderId="16" xfId="0" applyFont="1" applyBorder="1" applyAlignment="1">
      <alignment horizontal="center" vertical="center" wrapText="1"/>
    </xf>
    <xf numFmtId="3" fontId="51" fillId="0" borderId="0" xfId="4" applyNumberFormat="1" applyFont="1" applyBorder="1" applyAlignment="1">
      <alignment horizontal="center" vertical="center"/>
    </xf>
    <xf numFmtId="41" fontId="92" fillId="0" borderId="0" xfId="0" applyNumberFormat="1" applyFont="1" applyAlignment="1">
      <alignment horizontal="center" vertical="center"/>
    </xf>
    <xf numFmtId="41" fontId="29" fillId="9" borderId="2" xfId="52" applyNumberFormat="1" applyFont="1" applyFill="1" applyBorder="1" applyAlignment="1">
      <alignment horizontal="right" vertical="center" indent="1"/>
    </xf>
    <xf numFmtId="0" fontId="29" fillId="0" borderId="6" xfId="0" applyFont="1" applyBorder="1" applyAlignment="1">
      <alignment horizontal="center" wrapText="1"/>
    </xf>
    <xf numFmtId="41" fontId="54" fillId="0" borderId="51" xfId="0" applyNumberFormat="1" applyFont="1" applyBorder="1"/>
    <xf numFmtId="41" fontId="54" fillId="0" borderId="49" xfId="0" applyNumberFormat="1" applyFont="1" applyBorder="1"/>
    <xf numFmtId="41" fontId="54" fillId="0" borderId="49" xfId="0" applyNumberFormat="1" applyFont="1" applyBorder="1" applyAlignment="1">
      <alignment vertical="center"/>
    </xf>
    <xf numFmtId="41" fontId="29" fillId="0" borderId="102" xfId="0" applyNumberFormat="1" applyFont="1" applyBorder="1" applyAlignment="1">
      <alignment vertical="center"/>
    </xf>
    <xf numFmtId="0" fontId="54" fillId="0" borderId="17" xfId="0" applyFont="1" applyBorder="1"/>
    <xf numFmtId="41" fontId="95" fillId="0" borderId="19" xfId="0" applyNumberFormat="1" applyFont="1" applyBorder="1" applyAlignment="1">
      <alignment horizontal="right" vertical="center" indent="1"/>
    </xf>
    <xf numFmtId="41" fontId="95" fillId="0" borderId="88" xfId="0" applyNumberFormat="1" applyFont="1" applyBorder="1" applyAlignment="1">
      <alignment horizontal="right" vertical="center" indent="1"/>
    </xf>
    <xf numFmtId="41" fontId="85" fillId="0" borderId="48" xfId="0" applyNumberFormat="1" applyFont="1" applyBorder="1" applyAlignment="1">
      <alignment horizontal="right" vertical="center" indent="1"/>
    </xf>
    <xf numFmtId="41" fontId="86" fillId="0" borderId="2" xfId="4" applyNumberFormat="1" applyFont="1" applyBorder="1" applyAlignment="1">
      <alignment horizontal="right" vertical="center" wrapText="1" indent="1"/>
    </xf>
    <xf numFmtId="41" fontId="89" fillId="0" borderId="0" xfId="4" applyNumberFormat="1" applyFont="1" applyBorder="1" applyAlignment="1">
      <alignment horizontal="right" vertical="center" wrapText="1" indent="1"/>
    </xf>
    <xf numFmtId="41" fontId="86" fillId="3" borderId="0" xfId="4" applyNumberFormat="1" applyFont="1" applyFill="1" applyBorder="1" applyAlignment="1">
      <alignment horizontal="right" vertical="center" wrapText="1" indent="1"/>
    </xf>
    <xf numFmtId="41" fontId="54" fillId="0" borderId="9" xfId="0" applyNumberFormat="1" applyFont="1" applyBorder="1" applyAlignment="1">
      <alignment vertical="center"/>
    </xf>
    <xf numFmtId="41" fontId="54" fillId="0" borderId="9" xfId="0" applyNumberFormat="1" applyFont="1" applyBorder="1"/>
    <xf numFmtId="0" fontId="29" fillId="0" borderId="16" xfId="0" applyFont="1" applyBorder="1" applyAlignment="1">
      <alignment horizontal="center" vertical="center" wrapText="1"/>
    </xf>
    <xf numFmtId="41" fontId="29" fillId="25" borderId="26" xfId="0" applyNumberFormat="1" applyFont="1" applyFill="1" applyBorder="1" applyAlignment="1">
      <alignment horizontal="right" vertical="center"/>
    </xf>
    <xf numFmtId="41" fontId="85" fillId="0" borderId="26" xfId="0" applyNumberFormat="1" applyFont="1" applyFill="1" applyBorder="1" applyAlignment="1">
      <alignment horizontal="right" vertical="center" wrapText="1"/>
    </xf>
    <xf numFmtId="41" fontId="92" fillId="0" borderId="26" xfId="0" applyNumberFormat="1" applyFont="1" applyFill="1" applyBorder="1" applyAlignment="1">
      <alignment horizontal="right" vertical="center" wrapText="1"/>
    </xf>
    <xf numFmtId="41" fontId="95" fillId="0" borderId="26" xfId="0" applyNumberFormat="1" applyFont="1" applyFill="1" applyBorder="1" applyAlignment="1">
      <alignment horizontal="right" vertical="center" wrapText="1"/>
    </xf>
    <xf numFmtId="41" fontId="85" fillId="0" borderId="9" xfId="0" applyNumberFormat="1" applyFont="1" applyFill="1" applyBorder="1" applyAlignment="1">
      <alignment horizontal="right" vertical="center" wrapText="1"/>
    </xf>
    <xf numFmtId="41" fontId="85" fillId="0" borderId="19" xfId="0" applyNumberFormat="1" applyFont="1" applyFill="1" applyBorder="1" applyAlignment="1">
      <alignment horizontal="right" vertical="center" wrapText="1"/>
    </xf>
    <xf numFmtId="41" fontId="85" fillId="0" borderId="99" xfId="0" applyNumberFormat="1" applyFont="1" applyFill="1" applyBorder="1" applyAlignment="1">
      <alignment horizontal="right" vertical="center" wrapText="1"/>
    </xf>
    <xf numFmtId="41" fontId="85" fillId="0" borderId="28" xfId="0" applyNumberFormat="1" applyFont="1" applyFill="1" applyBorder="1" applyAlignment="1">
      <alignment horizontal="right" vertical="center" wrapText="1"/>
    </xf>
    <xf numFmtId="41" fontId="92" fillId="0" borderId="72" xfId="0" applyNumberFormat="1" applyFont="1" applyFill="1" applyBorder="1" applyAlignment="1">
      <alignment horizontal="right" vertical="center" wrapText="1"/>
    </xf>
    <xf numFmtId="41" fontId="92" fillId="0" borderId="28" xfId="0" applyNumberFormat="1" applyFont="1" applyFill="1" applyBorder="1" applyAlignment="1">
      <alignment horizontal="right" vertical="center" wrapText="1"/>
    </xf>
    <xf numFmtId="41" fontId="85" fillId="0" borderId="73" xfId="0" applyNumberFormat="1" applyFont="1" applyFill="1" applyBorder="1" applyAlignment="1">
      <alignment horizontal="right" vertical="center" wrapText="1"/>
    </xf>
    <xf numFmtId="41" fontId="54" fillId="0" borderId="17" xfId="0" applyNumberFormat="1" applyFont="1" applyBorder="1"/>
    <xf numFmtId="41" fontId="86" fillId="0" borderId="3" xfId="4" applyNumberFormat="1" applyFont="1" applyFill="1" applyBorder="1" applyAlignment="1">
      <alignment horizontal="right" vertical="center" wrapText="1" indent="1"/>
    </xf>
    <xf numFmtId="41" fontId="92" fillId="9" borderId="17" xfId="0" applyNumberFormat="1" applyFont="1" applyFill="1" applyBorder="1" applyAlignment="1">
      <alignment horizontal="right" vertical="center" wrapText="1"/>
    </xf>
    <xf numFmtId="0" fontId="85" fillId="0" borderId="19" xfId="0" applyFont="1" applyBorder="1" applyAlignment="1">
      <alignment horizontal="left" vertical="center" indent="1"/>
    </xf>
    <xf numFmtId="41" fontId="106" fillId="0" borderId="19" xfId="0" applyNumberFormat="1" applyFont="1" applyBorder="1" applyAlignment="1">
      <alignment horizontal="right" vertical="center" wrapText="1"/>
    </xf>
    <xf numFmtId="41" fontId="93" fillId="0" borderId="21" xfId="0" applyNumberFormat="1" applyFont="1" applyBorder="1" applyAlignment="1">
      <alignment horizontal="right" vertical="center" wrapText="1"/>
    </xf>
    <xf numFmtId="0" fontId="92" fillId="0" borderId="17" xfId="0" applyFont="1" applyBorder="1" applyAlignment="1">
      <alignment vertical="center" wrapText="1"/>
    </xf>
    <xf numFmtId="41" fontId="93" fillId="0" borderId="17" xfId="0" applyNumberFormat="1" applyFont="1" applyBorder="1" applyAlignment="1">
      <alignment horizontal="right" vertical="center" wrapText="1"/>
    </xf>
    <xf numFmtId="49" fontId="94" fillId="0" borderId="36" xfId="0" applyNumberFormat="1" applyFont="1" applyBorder="1" applyAlignment="1">
      <alignment horizontal="center" vertical="center"/>
    </xf>
    <xf numFmtId="0" fontId="85" fillId="0" borderId="21" xfId="0" applyFont="1" applyBorder="1" applyAlignment="1">
      <alignment horizontal="left" vertical="center" indent="1"/>
    </xf>
    <xf numFmtId="41" fontId="95" fillId="0" borderId="28" xfId="0" applyNumberFormat="1" applyFont="1" applyBorder="1" applyAlignment="1">
      <alignment horizontal="right" vertical="center" wrapText="1"/>
    </xf>
    <xf numFmtId="41" fontId="95" fillId="0" borderId="28" xfId="0" applyNumberFormat="1" applyFont="1" applyFill="1" applyBorder="1" applyAlignment="1">
      <alignment horizontal="right" vertical="center" wrapText="1"/>
    </xf>
    <xf numFmtId="41" fontId="94" fillId="0" borderId="28" xfId="0" applyNumberFormat="1" applyFont="1" applyBorder="1" applyAlignment="1">
      <alignment horizontal="right" vertical="center" wrapText="1"/>
    </xf>
    <xf numFmtId="41" fontId="94" fillId="0" borderId="22" xfId="0" applyNumberFormat="1" applyFont="1" applyBorder="1" applyAlignment="1">
      <alignment horizontal="right" vertical="center" wrapText="1"/>
    </xf>
    <xf numFmtId="41" fontId="108" fillId="0" borderId="0" xfId="0" applyNumberFormat="1" applyFont="1" applyAlignment="1">
      <alignment vertical="center"/>
    </xf>
    <xf numFmtId="49" fontId="14" fillId="0" borderId="9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vertical="center" wrapText="1"/>
    </xf>
    <xf numFmtId="49" fontId="16" fillId="0" borderId="19" xfId="0" applyNumberFormat="1" applyFont="1" applyBorder="1" applyAlignment="1">
      <alignment horizontal="center" vertical="center"/>
    </xf>
    <xf numFmtId="0" fontId="61" fillId="0" borderId="48" xfId="0" applyFont="1" applyBorder="1" applyAlignment="1">
      <alignment horizontal="center" vertical="center"/>
    </xf>
    <xf numFmtId="0" fontId="61" fillId="0" borderId="7" xfId="0" applyFont="1" applyBorder="1" applyAlignment="1">
      <alignment horizontal="center" vertical="center"/>
    </xf>
    <xf numFmtId="0" fontId="60" fillId="0" borderId="43" xfId="0" applyFont="1" applyBorder="1" applyAlignment="1">
      <alignment horizontal="center" vertical="center"/>
    </xf>
    <xf numFmtId="3" fontId="73" fillId="0" borderId="0" xfId="4" applyNumberFormat="1" applyFont="1" applyBorder="1" applyAlignment="1">
      <alignment horizontal="center" vertical="center"/>
    </xf>
    <xf numFmtId="3" fontId="51" fillId="0" borderId="0" xfId="4" applyNumberFormat="1" applyFont="1" applyBorder="1" applyAlignment="1">
      <alignment horizontal="center" vertical="center"/>
    </xf>
    <xf numFmtId="3" fontId="101" fillId="0" borderId="0" xfId="4" applyNumberFormat="1" applyFont="1" applyBorder="1" applyAlignment="1">
      <alignment horizontal="center" vertical="center" wrapText="1"/>
    </xf>
    <xf numFmtId="3" fontId="101" fillId="0" borderId="0" xfId="4" applyNumberFormat="1" applyFont="1" applyBorder="1" applyAlignment="1">
      <alignment horizontal="center" vertical="center"/>
    </xf>
    <xf numFmtId="0" fontId="20" fillId="9" borderId="15" xfId="0" applyFont="1" applyFill="1" applyBorder="1" applyAlignment="1">
      <alignment horizontal="left" vertical="center" wrapText="1"/>
    </xf>
    <xf numFmtId="0" fontId="20" fillId="9" borderId="6" xfId="0" applyFont="1" applyFill="1" applyBorder="1" applyAlignment="1">
      <alignment horizontal="left" vertical="center" wrapText="1"/>
    </xf>
    <xf numFmtId="0" fontId="50" fillId="0" borderId="31" xfId="0" applyFont="1" applyBorder="1" applyAlignment="1">
      <alignment horizontal="center" vertical="center" wrapText="1"/>
    </xf>
    <xf numFmtId="0" fontId="22" fillId="0" borderId="73" xfId="0" applyFont="1" applyFill="1" applyBorder="1" applyAlignment="1">
      <alignment horizontal="left" vertical="center" wrapText="1"/>
    </xf>
    <xf numFmtId="0" fontId="61" fillId="0" borderId="43" xfId="0" applyFont="1" applyFill="1" applyBorder="1" applyAlignment="1">
      <alignment vertical="center"/>
    </xf>
    <xf numFmtId="0" fontId="61" fillId="0" borderId="69" xfId="0" applyFont="1" applyFill="1" applyBorder="1" applyAlignment="1">
      <alignment vertical="center"/>
    </xf>
    <xf numFmtId="0" fontId="22" fillId="0" borderId="72" xfId="0" applyFont="1" applyFill="1" applyBorder="1" applyAlignment="1">
      <alignment horizontal="left" vertical="center" wrapText="1"/>
    </xf>
    <xf numFmtId="0" fontId="61" fillId="0" borderId="51" xfId="0" applyFont="1" applyFill="1" applyBorder="1" applyAlignment="1"/>
    <xf numFmtId="0" fontId="61" fillId="0" borderId="40" xfId="0" applyFont="1" applyFill="1" applyBorder="1" applyAlignment="1"/>
    <xf numFmtId="0" fontId="3" fillId="9" borderId="80" xfId="0" applyFont="1" applyFill="1" applyBorder="1" applyAlignment="1">
      <alignment horizontal="left" vertical="center"/>
    </xf>
    <xf numFmtId="0" fontId="1" fillId="9" borderId="80" xfId="0" applyFont="1" applyFill="1" applyBorder="1" applyAlignment="1"/>
    <xf numFmtId="0" fontId="1" fillId="9" borderId="35" xfId="0" applyFont="1" applyFill="1" applyBorder="1" applyAlignment="1"/>
    <xf numFmtId="0" fontId="20" fillId="9" borderId="76" xfId="0" applyFont="1" applyFill="1" applyBorder="1" applyAlignment="1">
      <alignment horizontal="left" vertical="center" wrapText="1"/>
    </xf>
    <xf numFmtId="0" fontId="1" fillId="9" borderId="80" xfId="0" applyFont="1" applyFill="1" applyBorder="1" applyAlignment="1">
      <alignment vertical="center"/>
    </xf>
    <xf numFmtId="0" fontId="1" fillId="9" borderId="35" xfId="0" applyFont="1" applyFill="1" applyBorder="1" applyAlignment="1">
      <alignment vertical="center"/>
    </xf>
    <xf numFmtId="0" fontId="1" fillId="0" borderId="43" xfId="0" applyFont="1" applyFill="1" applyBorder="1" applyAlignment="1">
      <alignment vertical="center"/>
    </xf>
    <xf numFmtId="0" fontId="1" fillId="0" borderId="69" xfId="0" applyFont="1" applyFill="1" applyBorder="1" applyAlignment="1">
      <alignment vertical="center"/>
    </xf>
    <xf numFmtId="0" fontId="61" fillId="0" borderId="51" xfId="0" applyFont="1" applyFill="1" applyBorder="1" applyAlignment="1">
      <alignment vertical="center"/>
    </xf>
    <xf numFmtId="0" fontId="61" fillId="0" borderId="40" xfId="0" applyFont="1" applyFill="1" applyBorder="1" applyAlignment="1">
      <alignment vertical="center"/>
    </xf>
    <xf numFmtId="0" fontId="20" fillId="9" borderId="78" xfId="0" applyFont="1" applyFill="1" applyBorder="1" applyAlignment="1">
      <alignment horizontal="left" vertical="center" wrapText="1"/>
    </xf>
    <xf numFmtId="0" fontId="1" fillId="9" borderId="31" xfId="0" applyFont="1" applyFill="1" applyBorder="1" applyAlignment="1">
      <alignment vertical="center"/>
    </xf>
    <xf numFmtId="0" fontId="1" fillId="9" borderId="82" xfId="0" applyFont="1" applyFill="1" applyBorder="1" applyAlignment="1">
      <alignment vertical="center"/>
    </xf>
    <xf numFmtId="0" fontId="20" fillId="9" borderId="80" xfId="0" applyFont="1" applyFill="1" applyBorder="1" applyAlignment="1">
      <alignment horizontal="left" vertical="center" wrapText="1"/>
    </xf>
    <xf numFmtId="0" fontId="20" fillId="9" borderId="35" xfId="0" applyFont="1" applyFill="1" applyBorder="1" applyAlignment="1">
      <alignment horizontal="left" vertical="center" wrapText="1"/>
    </xf>
    <xf numFmtId="0" fontId="20" fillId="9" borderId="76" xfId="0" applyFont="1" applyFill="1" applyBorder="1" applyAlignment="1">
      <alignment horizontal="left" vertical="center"/>
    </xf>
    <xf numFmtId="0" fontId="92" fillId="0" borderId="31" xfId="0" applyFont="1" applyBorder="1" applyAlignment="1">
      <alignment horizontal="center" vertical="center"/>
    </xf>
    <xf numFmtId="0" fontId="66" fillId="9" borderId="25" xfId="0" applyFont="1" applyFill="1" applyBorder="1" applyAlignment="1">
      <alignment horizontal="left" vertical="center"/>
    </xf>
    <xf numFmtId="0" fontId="66" fillId="9" borderId="16" xfId="0" applyFont="1" applyFill="1" applyBorder="1" applyAlignment="1">
      <alignment horizontal="left" vertical="center"/>
    </xf>
    <xf numFmtId="0" fontId="74" fillId="0" borderId="0" xfId="0" applyFont="1" applyBorder="1" applyAlignment="1">
      <alignment horizontal="center" vertical="center"/>
    </xf>
    <xf numFmtId="49" fontId="66" fillId="0" borderId="54" xfId="0" applyNumberFormat="1" applyFont="1" applyBorder="1" applyAlignment="1">
      <alignment horizontal="center" vertical="center"/>
    </xf>
    <xf numFmtId="49" fontId="66" fillId="0" borderId="4" xfId="0" applyNumberFormat="1" applyFont="1" applyBorder="1" applyAlignment="1">
      <alignment horizontal="center" vertical="center"/>
    </xf>
    <xf numFmtId="49" fontId="66" fillId="0" borderId="95" xfId="0" applyNumberFormat="1" applyFont="1" applyBorder="1" applyAlignment="1">
      <alignment horizontal="center" vertical="center"/>
    </xf>
    <xf numFmtId="49" fontId="82" fillId="0" borderId="54" xfId="0" applyNumberFormat="1" applyFont="1" applyBorder="1" applyAlignment="1">
      <alignment horizontal="center" vertical="center"/>
    </xf>
    <xf numFmtId="49" fontId="82" fillId="0" borderId="4" xfId="0" applyNumberFormat="1" applyFont="1" applyBorder="1" applyAlignment="1">
      <alignment horizontal="center" vertical="center"/>
    </xf>
    <xf numFmtId="49" fontId="82" fillId="0" borderId="95" xfId="0" applyNumberFormat="1" applyFont="1" applyBorder="1" applyAlignment="1">
      <alignment horizontal="center" vertical="center"/>
    </xf>
    <xf numFmtId="49" fontId="82" fillId="0" borderId="52" xfId="0" applyNumberFormat="1" applyFont="1" applyBorder="1" applyAlignment="1">
      <alignment horizontal="center" vertical="center"/>
    </xf>
    <xf numFmtId="0" fontId="82" fillId="9" borderId="76" xfId="0" applyFont="1" applyFill="1" applyBorder="1" applyAlignment="1">
      <alignment vertical="center" wrapText="1"/>
    </xf>
    <xf numFmtId="0" fontId="65" fillId="9" borderId="80" xfId="0" applyFont="1" applyFill="1" applyBorder="1" applyAlignment="1">
      <alignment vertical="center"/>
    </xf>
    <xf numFmtId="0" fontId="65" fillId="9" borderId="35" xfId="0" applyFont="1" applyFill="1" applyBorder="1" applyAlignment="1">
      <alignment vertical="center"/>
    </xf>
    <xf numFmtId="3" fontId="103" fillId="9" borderId="76" xfId="0" applyNumberFormat="1" applyFont="1" applyFill="1" applyBorder="1" applyAlignment="1">
      <alignment horizontal="right" vertical="center" indent="1"/>
    </xf>
    <xf numFmtId="3" fontId="103" fillId="9" borderId="80" xfId="0" applyNumberFormat="1" applyFont="1" applyFill="1" applyBorder="1" applyAlignment="1">
      <alignment horizontal="right" vertical="center" indent="1"/>
    </xf>
    <xf numFmtId="0" fontId="65" fillId="9" borderId="80" xfId="0" applyFont="1" applyFill="1" applyBorder="1" applyAlignment="1">
      <alignment horizontal="right" vertical="center" indent="1"/>
    </xf>
    <xf numFmtId="0" fontId="65" fillId="9" borderId="35" xfId="0" applyFont="1" applyFill="1" applyBorder="1" applyAlignment="1">
      <alignment horizontal="right" vertical="center" indent="1"/>
    </xf>
    <xf numFmtId="3" fontId="65" fillId="9" borderId="76" xfId="0" applyNumberFormat="1" applyFont="1" applyFill="1" applyBorder="1" applyAlignment="1">
      <alignment horizontal="right" vertical="center" indent="1"/>
    </xf>
    <xf numFmtId="3" fontId="65" fillId="9" borderId="80" xfId="0" applyNumberFormat="1" applyFont="1" applyFill="1" applyBorder="1" applyAlignment="1">
      <alignment horizontal="right" vertical="center" indent="1"/>
    </xf>
    <xf numFmtId="0" fontId="66" fillId="0" borderId="54" xfId="0" applyFont="1" applyBorder="1" applyAlignment="1">
      <alignment horizontal="center" vertical="center"/>
    </xf>
    <xf numFmtId="0" fontId="66" fillId="0" borderId="4" xfId="0" applyFont="1" applyBorder="1" applyAlignment="1">
      <alignment horizontal="center" vertical="center"/>
    </xf>
    <xf numFmtId="0" fontId="66" fillId="0" borderId="95" xfId="0" applyFont="1" applyBorder="1" applyAlignment="1">
      <alignment horizontal="center" vertical="center"/>
    </xf>
    <xf numFmtId="0" fontId="65" fillId="9" borderId="15" xfId="0" applyFont="1" applyFill="1" applyBorder="1" applyAlignment="1">
      <alignment horizontal="left" vertical="center" wrapText="1"/>
    </xf>
    <xf numFmtId="0" fontId="65" fillId="9" borderId="6" xfId="0" applyFont="1" applyFill="1" applyBorder="1" applyAlignment="1">
      <alignment horizontal="left" vertical="center" wrapText="1"/>
    </xf>
    <xf numFmtId="0" fontId="71" fillId="0" borderId="0" xfId="0" applyFont="1" applyBorder="1" applyAlignment="1">
      <alignment horizontal="center" vertical="center"/>
    </xf>
    <xf numFmtId="0" fontId="66" fillId="9" borderId="78" xfId="0" applyFont="1" applyFill="1" applyBorder="1" applyAlignment="1">
      <alignment horizontal="left" vertical="center" wrapText="1"/>
    </xf>
    <xf numFmtId="0" fontId="67" fillId="9" borderId="31" xfId="0" applyFont="1" applyFill="1" applyBorder="1" applyAlignment="1">
      <alignment vertical="center"/>
    </xf>
    <xf numFmtId="0" fontId="67" fillId="9" borderId="82" xfId="0" applyFont="1" applyFill="1" applyBorder="1" applyAlignment="1">
      <alignment vertical="center"/>
    </xf>
    <xf numFmtId="0" fontId="66" fillId="9" borderId="76" xfId="0" applyFont="1" applyFill="1" applyBorder="1" applyAlignment="1">
      <alignment horizontal="left" vertical="center" wrapText="1"/>
    </xf>
    <xf numFmtId="0" fontId="67" fillId="9" borderId="80" xfId="0" applyFont="1" applyFill="1" applyBorder="1" applyAlignment="1">
      <alignment vertical="center"/>
    </xf>
    <xf numFmtId="0" fontId="67" fillId="9" borderId="35" xfId="0" applyFont="1" applyFill="1" applyBorder="1" applyAlignment="1">
      <alignment vertical="center"/>
    </xf>
    <xf numFmtId="3" fontId="67" fillId="9" borderId="78" xfId="0" applyNumberFormat="1" applyFont="1" applyFill="1" applyBorder="1" applyAlignment="1">
      <alignment horizontal="right" vertical="center" indent="1"/>
    </xf>
    <xf numFmtId="3" fontId="67" fillId="9" borderId="31" xfId="0" applyNumberFormat="1" applyFont="1" applyFill="1" applyBorder="1" applyAlignment="1">
      <alignment horizontal="right" vertical="center" indent="1"/>
    </xf>
    <xf numFmtId="0" fontId="67" fillId="9" borderId="31" xfId="0" applyFont="1" applyFill="1" applyBorder="1" applyAlignment="1">
      <alignment horizontal="right" vertical="center" indent="1"/>
    </xf>
    <xf numFmtId="0" fontId="67" fillId="9" borderId="82" xfId="0" applyFont="1" applyFill="1" applyBorder="1" applyAlignment="1">
      <alignment horizontal="right" vertical="center" indent="1"/>
    </xf>
    <xf numFmtId="0" fontId="66" fillId="9" borderId="15" xfId="0" applyFont="1" applyFill="1" applyBorder="1" applyAlignment="1">
      <alignment horizontal="left" vertical="center"/>
    </xf>
    <xf numFmtId="0" fontId="66" fillId="9" borderId="80" xfId="0" applyFont="1" applyFill="1" applyBorder="1" applyAlignment="1">
      <alignment horizontal="left" vertical="center"/>
    </xf>
    <xf numFmtId="0" fontId="82" fillId="9" borderId="76" xfId="0" applyFont="1" applyFill="1" applyBorder="1" applyAlignment="1">
      <alignment horizontal="left" vertical="center" wrapText="1"/>
    </xf>
    <xf numFmtId="41" fontId="115" fillId="8" borderId="49" xfId="6" applyNumberFormat="1" applyFont="1" applyFill="1" applyBorder="1" applyAlignment="1">
      <alignment horizontal="right" vertical="center"/>
    </xf>
    <xf numFmtId="41" fontId="111" fillId="0" borderId="49" xfId="0" applyNumberFormat="1" applyFont="1" applyBorder="1" applyAlignment="1">
      <alignment horizontal="right" vertical="center"/>
    </xf>
    <xf numFmtId="41" fontId="111" fillId="0" borderId="39" xfId="0" applyNumberFormat="1" applyFont="1" applyBorder="1" applyAlignment="1">
      <alignment horizontal="right" vertical="center"/>
    </xf>
    <xf numFmtId="41" fontId="116" fillId="8" borderId="49" xfId="6" applyNumberFormat="1" applyFont="1" applyFill="1" applyBorder="1" applyAlignment="1">
      <alignment horizontal="right" vertical="center"/>
    </xf>
    <xf numFmtId="41" fontId="115" fillId="8" borderId="51" xfId="6" applyNumberFormat="1" applyFont="1" applyFill="1" applyBorder="1" applyAlignment="1">
      <alignment horizontal="right" vertical="center"/>
    </xf>
    <xf numFmtId="41" fontId="111" fillId="0" borderId="51" xfId="0" applyNumberFormat="1" applyFont="1" applyBorder="1" applyAlignment="1">
      <alignment horizontal="right" vertical="center"/>
    </xf>
    <xf numFmtId="41" fontId="111" fillId="0" borderId="40" xfId="0" applyNumberFormat="1" applyFont="1" applyBorder="1" applyAlignment="1">
      <alignment horizontal="right" vertical="center"/>
    </xf>
    <xf numFmtId="41" fontId="115" fillId="8" borderId="43" xfId="6" applyNumberFormat="1" applyFont="1" applyFill="1" applyBorder="1" applyAlignment="1">
      <alignment horizontal="right" vertical="center"/>
    </xf>
    <xf numFmtId="41" fontId="111" fillId="0" borderId="43" xfId="0" applyNumberFormat="1" applyFont="1" applyBorder="1" applyAlignment="1">
      <alignment horizontal="right" vertical="center"/>
    </xf>
    <xf numFmtId="41" fontId="111" fillId="0" borderId="69" xfId="0" applyNumberFormat="1" applyFont="1" applyBorder="1" applyAlignment="1">
      <alignment horizontal="right" vertical="center"/>
    </xf>
    <xf numFmtId="0" fontId="110" fillId="3" borderId="76" xfId="6" applyFont="1" applyFill="1" applyBorder="1" applyAlignment="1">
      <alignment horizontal="left" vertical="center" wrapText="1"/>
    </xf>
    <xf numFmtId="0" fontId="110" fillId="3" borderId="80" xfId="6" applyFont="1" applyFill="1" applyBorder="1" applyAlignment="1">
      <alignment horizontal="left" vertical="center" wrapText="1"/>
    </xf>
    <xf numFmtId="0" fontId="110" fillId="3" borderId="35" xfId="6" applyFont="1" applyFill="1" applyBorder="1" applyAlignment="1">
      <alignment horizontal="left" vertical="center" wrapText="1"/>
    </xf>
    <xf numFmtId="41" fontId="120" fillId="8" borderId="43" xfId="6" applyNumberFormat="1" applyFont="1" applyFill="1" applyBorder="1" applyAlignment="1">
      <alignment horizontal="right" vertical="center"/>
    </xf>
    <xf numFmtId="41" fontId="117" fillId="3" borderId="76" xfId="6" applyNumberFormat="1" applyFont="1" applyFill="1" applyBorder="1" applyAlignment="1">
      <alignment horizontal="right" vertical="center" wrapText="1"/>
    </xf>
    <xf numFmtId="41" fontId="117" fillId="3" borderId="80" xfId="6" applyNumberFormat="1" applyFont="1" applyFill="1" applyBorder="1" applyAlignment="1">
      <alignment horizontal="right" vertical="center" wrapText="1"/>
    </xf>
    <xf numFmtId="41" fontId="110" fillId="0" borderId="80" xfId="0" applyNumberFormat="1" applyFont="1" applyBorder="1" applyAlignment="1">
      <alignment horizontal="right" vertical="center"/>
    </xf>
    <xf numFmtId="41" fontId="110" fillId="0" borderId="35" xfId="0" applyNumberFormat="1" applyFont="1" applyBorder="1" applyAlignment="1">
      <alignment horizontal="right" vertical="center"/>
    </xf>
    <xf numFmtId="41" fontId="116" fillId="8" borderId="43" xfId="6" applyNumberFormat="1" applyFont="1" applyFill="1" applyBorder="1" applyAlignment="1">
      <alignment horizontal="right" vertical="center"/>
    </xf>
    <xf numFmtId="41" fontId="118" fillId="8" borderId="49" xfId="6" applyNumberFormat="1" applyFont="1" applyFill="1" applyBorder="1" applyAlignment="1">
      <alignment horizontal="right" vertical="center"/>
    </xf>
    <xf numFmtId="0" fontId="112" fillId="5" borderId="73" xfId="6" applyFont="1" applyFill="1" applyBorder="1" applyAlignment="1">
      <alignment horizontal="left" vertical="center" wrapText="1"/>
    </xf>
    <xf numFmtId="0" fontId="112" fillId="5" borderId="43" xfId="6" applyFont="1" applyFill="1" applyBorder="1" applyAlignment="1">
      <alignment horizontal="left" vertical="center" wrapText="1"/>
    </xf>
    <xf numFmtId="0" fontId="112" fillId="5" borderId="69" xfId="6" applyFont="1" applyFill="1" applyBorder="1" applyAlignment="1">
      <alignment horizontal="left" vertical="center" wrapText="1"/>
    </xf>
    <xf numFmtId="0" fontId="112" fillId="3" borderId="76" xfId="6" applyFont="1" applyFill="1" applyBorder="1" applyAlignment="1">
      <alignment horizontal="left" vertical="center" wrapText="1"/>
    </xf>
    <xf numFmtId="0" fontId="112" fillId="3" borderId="80" xfId="6" applyFont="1" applyFill="1" applyBorder="1" applyAlignment="1">
      <alignment horizontal="left" vertical="center" wrapText="1"/>
    </xf>
    <xf numFmtId="0" fontId="112" fillId="3" borderId="35" xfId="6" applyFont="1" applyFill="1" applyBorder="1" applyAlignment="1">
      <alignment horizontal="left" vertical="center" wrapText="1"/>
    </xf>
    <xf numFmtId="0" fontId="112" fillId="3" borderId="15" xfId="6" applyFont="1" applyFill="1" applyBorder="1" applyAlignment="1">
      <alignment horizontal="left" vertical="center" wrapText="1"/>
    </xf>
    <xf numFmtId="0" fontId="112" fillId="3" borderId="6" xfId="6" applyFont="1" applyFill="1" applyBorder="1" applyAlignment="1">
      <alignment horizontal="left" vertical="center" wrapText="1"/>
    </xf>
    <xf numFmtId="41" fontId="113" fillId="3" borderId="76" xfId="6" applyNumberFormat="1" applyFont="1" applyFill="1" applyBorder="1" applyAlignment="1">
      <alignment horizontal="right" vertical="center" wrapText="1"/>
    </xf>
    <xf numFmtId="41" fontId="113" fillId="3" borderId="80" xfId="6" applyNumberFormat="1" applyFont="1" applyFill="1" applyBorder="1" applyAlignment="1">
      <alignment horizontal="right" vertical="center" wrapText="1"/>
    </xf>
    <xf numFmtId="41" fontId="111" fillId="0" borderId="80" xfId="0" applyNumberFormat="1" applyFont="1" applyBorder="1" applyAlignment="1">
      <alignment horizontal="right" vertical="center"/>
    </xf>
    <xf numFmtId="41" fontId="111" fillId="0" borderId="35" xfId="0" applyNumberFormat="1" applyFont="1" applyBorder="1" applyAlignment="1">
      <alignment horizontal="right" vertical="center"/>
    </xf>
    <xf numFmtId="0" fontId="110" fillId="0" borderId="0" xfId="6" applyFont="1" applyBorder="1" applyAlignment="1">
      <alignment horizontal="center" vertical="center" wrapText="1"/>
    </xf>
    <xf numFmtId="0" fontId="111" fillId="0" borderId="0" xfId="0" applyFont="1" applyBorder="1" applyAlignment="1">
      <alignment vertical="center"/>
    </xf>
    <xf numFmtId="41" fontId="120" fillId="8" borderId="49" xfId="6" applyNumberFormat="1" applyFont="1" applyFill="1" applyBorder="1" applyAlignment="1">
      <alignment horizontal="right" vertical="center"/>
    </xf>
    <xf numFmtId="41" fontId="115" fillId="8" borderId="43" xfId="0" applyNumberFormat="1" applyFont="1" applyFill="1" applyBorder="1" applyAlignment="1">
      <alignment horizontal="right" vertical="center"/>
    </xf>
    <xf numFmtId="1" fontId="115" fillId="8" borderId="43" xfId="6" applyNumberFormat="1" applyFont="1" applyFill="1" applyBorder="1" applyAlignment="1">
      <alignment vertical="center"/>
    </xf>
    <xf numFmtId="0" fontId="111" fillId="0" borderId="43" xfId="0" applyFont="1" applyBorder="1" applyAlignment="1">
      <alignment vertical="center"/>
    </xf>
    <xf numFmtId="0" fontId="111" fillId="0" borderId="69" xfId="0" applyFont="1" applyBorder="1" applyAlignment="1">
      <alignment vertical="center"/>
    </xf>
    <xf numFmtId="41" fontId="92" fillId="0" borderId="91" xfId="0" applyNumberFormat="1" applyFont="1" applyBorder="1" applyAlignment="1">
      <alignment horizontal="left" vertical="center" wrapText="1"/>
    </xf>
    <xf numFmtId="41" fontId="92" fillId="0" borderId="2" xfId="0" applyNumberFormat="1" applyFont="1" applyBorder="1" applyAlignment="1">
      <alignment horizontal="left" vertical="center" wrapText="1"/>
    </xf>
    <xf numFmtId="41" fontId="92" fillId="0" borderId="15" xfId="0" applyNumberFormat="1" applyFont="1" applyBorder="1" applyAlignment="1">
      <alignment horizontal="left" vertical="center" wrapText="1"/>
    </xf>
    <xf numFmtId="41" fontId="92" fillId="0" borderId="6" xfId="0" applyNumberFormat="1" applyFont="1" applyBorder="1" applyAlignment="1">
      <alignment horizontal="left" vertical="center" wrapText="1"/>
    </xf>
    <xf numFmtId="41" fontId="93" fillId="3" borderId="25" xfId="6" applyNumberFormat="1" applyFont="1" applyFill="1" applyBorder="1" applyAlignment="1">
      <alignment horizontal="left" vertical="center" wrapText="1"/>
    </xf>
    <xf numFmtId="41" fontId="93" fillId="3" borderId="16" xfId="6" applyNumberFormat="1" applyFont="1" applyFill="1" applyBorder="1" applyAlignment="1">
      <alignment horizontal="left" vertical="center" wrapText="1"/>
    </xf>
    <xf numFmtId="3" fontId="84" fillId="8" borderId="73" xfId="1" applyNumberFormat="1" applyFont="1" applyFill="1" applyBorder="1" applyAlignment="1">
      <alignment horizontal="center" vertical="center"/>
    </xf>
    <xf numFmtId="3" fontId="84" fillId="8" borderId="43" xfId="1" applyNumberFormat="1" applyFont="1" applyFill="1" applyBorder="1" applyAlignment="1">
      <alignment horizontal="center" vertical="center"/>
    </xf>
    <xf numFmtId="3" fontId="85" fillId="8" borderId="43" xfId="0" applyNumberFormat="1" applyFont="1" applyFill="1" applyBorder="1" applyAlignment="1">
      <alignment vertical="center"/>
    </xf>
    <xf numFmtId="3" fontId="85" fillId="8" borderId="69" xfId="0" applyNumberFormat="1" applyFont="1" applyFill="1" applyBorder="1" applyAlignment="1">
      <alignment vertical="center"/>
    </xf>
    <xf numFmtId="41" fontId="84" fillId="9" borderId="76" xfId="1" applyNumberFormat="1" applyFont="1" applyFill="1" applyBorder="1" applyAlignment="1">
      <alignment horizontal="center" vertical="center" wrapText="1"/>
    </xf>
    <xf numFmtId="41" fontId="84" fillId="9" borderId="80" xfId="1" applyNumberFormat="1" applyFont="1" applyFill="1" applyBorder="1" applyAlignment="1">
      <alignment horizontal="center" vertical="center" wrapText="1"/>
    </xf>
    <xf numFmtId="41" fontId="85" fillId="0" borderId="80" xfId="0" applyNumberFormat="1" applyFont="1" applyBorder="1" applyAlignment="1">
      <alignment vertical="center" wrapText="1"/>
    </xf>
    <xf numFmtId="41" fontId="85" fillId="0" borderId="35" xfId="0" applyNumberFormat="1" applyFont="1" applyBorder="1" applyAlignment="1">
      <alignment vertical="center" wrapText="1"/>
    </xf>
    <xf numFmtId="41" fontId="84" fillId="8" borderId="72" xfId="1" applyNumberFormat="1" applyFont="1" applyFill="1" applyBorder="1" applyAlignment="1">
      <alignment horizontal="center" vertical="center" wrapText="1"/>
    </xf>
    <xf numFmtId="41" fontId="84" fillId="8" borderId="51" xfId="1" applyNumberFormat="1" applyFont="1" applyFill="1" applyBorder="1" applyAlignment="1">
      <alignment horizontal="center" vertical="center" wrapText="1"/>
    </xf>
    <xf numFmtId="41" fontId="85" fillId="8" borderId="51" xfId="0" applyNumberFormat="1" applyFont="1" applyFill="1" applyBorder="1" applyAlignment="1">
      <alignment vertical="center" wrapText="1"/>
    </xf>
    <xf numFmtId="41" fontId="85" fillId="8" borderId="40" xfId="0" applyNumberFormat="1" applyFont="1" applyFill="1" applyBorder="1" applyAlignment="1">
      <alignment vertical="center" wrapText="1"/>
    </xf>
    <xf numFmtId="41" fontId="93" fillId="9" borderId="76" xfId="1" applyNumberFormat="1" applyFont="1" applyFill="1" applyBorder="1" applyAlignment="1">
      <alignment horizontal="center" vertical="center" wrapText="1"/>
    </xf>
    <xf numFmtId="41" fontId="93" fillId="9" borderId="80" xfId="1" applyNumberFormat="1" applyFont="1" applyFill="1" applyBorder="1" applyAlignment="1">
      <alignment horizontal="center" vertical="center" wrapText="1"/>
    </xf>
    <xf numFmtId="41" fontId="84" fillId="8" borderId="73" xfId="1" applyNumberFormat="1" applyFont="1" applyFill="1" applyBorder="1" applyAlignment="1">
      <alignment horizontal="center" vertical="center" wrapText="1"/>
    </xf>
    <xf numFmtId="41" fontId="84" fillId="8" borderId="43" xfId="1" applyNumberFormat="1" applyFont="1" applyFill="1" applyBorder="1" applyAlignment="1">
      <alignment horizontal="center" vertical="center" wrapText="1"/>
    </xf>
    <xf numFmtId="41" fontId="85" fillId="8" borderId="43" xfId="0" applyNumberFormat="1" applyFont="1" applyFill="1" applyBorder="1" applyAlignment="1">
      <alignment vertical="center" wrapText="1"/>
    </xf>
    <xf numFmtId="41" fontId="85" fillId="8" borderId="69" xfId="0" applyNumberFormat="1" applyFont="1" applyFill="1" applyBorder="1" applyAlignment="1">
      <alignment vertical="center" wrapText="1"/>
    </xf>
    <xf numFmtId="41" fontId="84" fillId="8" borderId="26" xfId="1" applyNumberFormat="1" applyFont="1" applyFill="1" applyBorder="1" applyAlignment="1">
      <alignment horizontal="center" vertical="center" wrapText="1"/>
    </xf>
    <xf numFmtId="41" fontId="84" fillId="8" borderId="49" xfId="1" applyNumberFormat="1" applyFont="1" applyFill="1" applyBorder="1" applyAlignment="1">
      <alignment horizontal="center" vertical="center" wrapText="1"/>
    </xf>
    <xf numFmtId="41" fontId="85" fillId="8" borderId="49" xfId="0" applyNumberFormat="1" applyFont="1" applyFill="1" applyBorder="1" applyAlignment="1">
      <alignment vertical="center" wrapText="1"/>
    </xf>
    <xf numFmtId="41" fontId="85" fillId="8" borderId="39" xfId="0" applyNumberFormat="1" applyFont="1" applyFill="1" applyBorder="1" applyAlignment="1">
      <alignment vertical="center" wrapText="1"/>
    </xf>
    <xf numFmtId="0" fontId="71" fillId="0" borderId="31" xfId="6" applyFont="1" applyBorder="1" applyAlignment="1">
      <alignment horizontal="center" vertical="center" wrapText="1"/>
    </xf>
    <xf numFmtId="0" fontId="72" fillId="0" borderId="31" xfId="0" applyFont="1" applyBorder="1" applyAlignment="1">
      <alignment vertical="center"/>
    </xf>
    <xf numFmtId="3" fontId="54" fillId="9" borderId="76" xfId="1" applyNumberFormat="1" applyFont="1" applyFill="1" applyBorder="1" applyAlignment="1">
      <alignment horizontal="center" vertical="center"/>
    </xf>
    <xf numFmtId="3" fontId="54" fillId="9" borderId="80" xfId="1" applyNumberFormat="1" applyFont="1" applyFill="1" applyBorder="1" applyAlignment="1">
      <alignment horizontal="center" vertical="center"/>
    </xf>
    <xf numFmtId="3" fontId="54" fillId="0" borderId="80" xfId="0" applyNumberFormat="1" applyFont="1" applyBorder="1" applyAlignment="1">
      <alignment vertical="center"/>
    </xf>
    <xf numFmtId="3" fontId="54" fillId="0" borderId="35" xfId="0" applyNumberFormat="1" applyFont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 wrapText="1"/>
    </xf>
    <xf numFmtId="0" fontId="71" fillId="0" borderId="0" xfId="0" applyFont="1" applyAlignment="1">
      <alignment horizontal="center" vertical="center"/>
    </xf>
    <xf numFmtId="0" fontId="29" fillId="0" borderId="31" xfId="0" applyFont="1" applyBorder="1" applyAlignment="1">
      <alignment horizontal="left" vertical="center" wrapText="1"/>
    </xf>
    <xf numFmtId="0" fontId="65" fillId="0" borderId="54" xfId="0" applyFont="1" applyFill="1" applyBorder="1" applyAlignment="1">
      <alignment horizontal="center" vertical="center"/>
    </xf>
    <xf numFmtId="0" fontId="65" fillId="0" borderId="75" xfId="0" applyFont="1" applyFill="1" applyBorder="1" applyAlignment="1">
      <alignment horizontal="center" vertical="center"/>
    </xf>
    <xf numFmtId="0" fontId="65" fillId="0" borderId="42" xfId="0" applyFont="1" applyFill="1" applyBorder="1" applyAlignment="1">
      <alignment horizontal="center" vertical="center"/>
    </xf>
    <xf numFmtId="0" fontId="71" fillId="0" borderId="0" xfId="0" applyFont="1" applyAlignment="1">
      <alignment horizontal="center" vertical="center" wrapText="1"/>
    </xf>
    <xf numFmtId="0" fontId="72" fillId="0" borderId="0" xfId="0" applyFont="1" applyAlignment="1">
      <alignment vertical="center"/>
    </xf>
    <xf numFmtId="41" fontId="92" fillId="8" borderId="31" xfId="0" applyNumberFormat="1" applyFont="1" applyFill="1" applyBorder="1" applyAlignment="1">
      <alignment horizontal="left" vertical="center" wrapText="1"/>
    </xf>
    <xf numFmtId="41" fontId="92" fillId="8" borderId="82" xfId="0" applyNumberFormat="1" applyFont="1" applyFill="1" applyBorder="1" applyAlignment="1">
      <alignment horizontal="left" vertical="center" wrapText="1"/>
    </xf>
    <xf numFmtId="0" fontId="54" fillId="0" borderId="0" xfId="0" applyFont="1" applyBorder="1" applyAlignment="1">
      <alignment horizontal="left" vertical="justify"/>
    </xf>
    <xf numFmtId="0" fontId="65" fillId="0" borderId="0" xfId="0" applyFont="1" applyAlignment="1">
      <alignment horizontal="center" vertical="center" wrapText="1"/>
    </xf>
    <xf numFmtId="0" fontId="29" fillId="0" borderId="25" xfId="0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29" fillId="0" borderId="31" xfId="0" applyFont="1" applyBorder="1" applyAlignment="1">
      <alignment horizontal="center" vertical="center" wrapText="1"/>
    </xf>
    <xf numFmtId="0" fontId="0" fillId="0" borderId="31" xfId="0" applyBorder="1" applyAlignment="1"/>
    <xf numFmtId="3" fontId="66" fillId="6" borderId="0" xfId="0" applyNumberFormat="1" applyFont="1" applyFill="1" applyAlignment="1">
      <alignment horizontal="center"/>
    </xf>
    <xf numFmtId="3" fontId="7" fillId="6" borderId="79" xfId="0" applyNumberFormat="1" applyFont="1" applyFill="1" applyBorder="1" applyAlignment="1" applyProtection="1">
      <alignment horizontal="center" vertical="center" wrapText="1"/>
    </xf>
    <xf numFmtId="3" fontId="7" fillId="6" borderId="50" xfId="0" applyNumberFormat="1" applyFont="1" applyFill="1" applyBorder="1" applyAlignment="1" applyProtection="1">
      <alignment horizontal="center" vertical="center" wrapText="1"/>
    </xf>
    <xf numFmtId="3" fontId="7" fillId="6" borderId="24" xfId="0" applyNumberFormat="1" applyFont="1" applyFill="1" applyBorder="1" applyAlignment="1" applyProtection="1">
      <alignment horizontal="center" vertical="center" wrapText="1"/>
    </xf>
    <xf numFmtId="3" fontId="7" fillId="6" borderId="8" xfId="0" applyNumberFormat="1" applyFont="1" applyFill="1" applyBorder="1" applyAlignment="1" applyProtection="1">
      <alignment horizontal="center" vertical="center" wrapText="1"/>
    </xf>
    <xf numFmtId="0" fontId="7" fillId="9" borderId="25" xfId="0" applyFont="1" applyFill="1" applyBorder="1" applyAlignment="1">
      <alignment horizontal="left" vertical="center" wrapText="1"/>
    </xf>
    <xf numFmtId="0" fontId="7" fillId="9" borderId="16" xfId="0" applyFont="1" applyFill="1" applyBorder="1" applyAlignment="1">
      <alignment horizontal="left" vertical="center" wrapText="1"/>
    </xf>
    <xf numFmtId="3" fontId="7" fillId="7" borderId="18" xfId="0" applyNumberFormat="1" applyFont="1" applyFill="1" applyBorder="1" applyAlignment="1" applyProtection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3" fontId="7" fillId="7" borderId="17" xfId="0" applyNumberFormat="1" applyFont="1" applyFill="1" applyBorder="1" applyAlignment="1" applyProtection="1">
      <alignment horizontal="center" vertical="center" wrapText="1"/>
    </xf>
    <xf numFmtId="3" fontId="7" fillId="7" borderId="21" xfId="0" applyNumberFormat="1" applyFont="1" applyFill="1" applyBorder="1" applyAlignment="1" applyProtection="1">
      <alignment horizontal="center" vertical="center" wrapText="1"/>
    </xf>
    <xf numFmtId="49" fontId="7" fillId="6" borderId="46" xfId="0" applyNumberFormat="1" applyFont="1" applyFill="1" applyBorder="1" applyAlignment="1" applyProtection="1">
      <alignment horizontal="center" vertical="center"/>
    </xf>
    <xf numFmtId="49" fontId="7" fillId="6" borderId="36" xfId="0" applyNumberFormat="1" applyFont="1" applyFill="1" applyBorder="1" applyAlignment="1" applyProtection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0" fontId="29" fillId="0" borderId="0" xfId="6" applyFont="1" applyBorder="1" applyAlignment="1">
      <alignment horizontal="center" vertical="center" wrapText="1"/>
    </xf>
    <xf numFmtId="0" fontId="54" fillId="0" borderId="0" xfId="0" applyFont="1" applyAlignment="1">
      <alignment vertical="center" wrapText="1"/>
    </xf>
    <xf numFmtId="0" fontId="63" fillId="0" borderId="17" xfId="6" applyFont="1" applyBorder="1" applyAlignment="1">
      <alignment horizontal="center" vertical="center" wrapText="1"/>
    </xf>
    <xf numFmtId="0" fontId="63" fillId="0" borderId="21" xfId="6" applyFont="1" applyBorder="1" applyAlignment="1">
      <alignment horizontal="center" vertical="center" wrapText="1"/>
    </xf>
    <xf numFmtId="0" fontId="63" fillId="0" borderId="42" xfId="6" applyFont="1" applyBorder="1" applyAlignment="1">
      <alignment horizontal="center" vertical="center" wrapText="1"/>
    </xf>
    <xf numFmtId="0" fontId="63" fillId="0" borderId="53" xfId="6" applyFont="1" applyBorder="1" applyAlignment="1">
      <alignment horizontal="center" vertical="center" wrapText="1"/>
    </xf>
    <xf numFmtId="0" fontId="63" fillId="3" borderId="25" xfId="6" applyFont="1" applyFill="1" applyBorder="1" applyAlignment="1">
      <alignment horizontal="left" vertical="center" wrapText="1"/>
    </xf>
    <xf numFmtId="0" fontId="63" fillId="3" borderId="16" xfId="6" applyFont="1" applyFill="1" applyBorder="1" applyAlignment="1">
      <alignment horizontal="left" vertical="center" wrapText="1"/>
    </xf>
    <xf numFmtId="0" fontId="63" fillId="0" borderId="46" xfId="6" applyFont="1" applyBorder="1" applyAlignment="1">
      <alignment horizontal="center" vertical="center"/>
    </xf>
    <xf numFmtId="0" fontId="63" fillId="0" borderId="36" xfId="6" applyFont="1" applyBorder="1" applyAlignment="1">
      <alignment horizontal="center" vertical="center"/>
    </xf>
    <xf numFmtId="41" fontId="63" fillId="0" borderId="77" xfId="6" applyNumberFormat="1" applyFont="1" applyBorder="1" applyAlignment="1">
      <alignment horizontal="right" vertical="center"/>
    </xf>
    <xf numFmtId="0" fontId="54" fillId="0" borderId="51" xfId="0" applyFont="1" applyBorder="1" applyAlignment="1">
      <alignment vertical="center"/>
    </xf>
    <xf numFmtId="0" fontId="54" fillId="0" borderId="40" xfId="0" applyFont="1" applyBorder="1" applyAlignment="1">
      <alignment vertical="center"/>
    </xf>
    <xf numFmtId="0" fontId="63" fillId="0" borderId="24" xfId="0" applyFont="1" applyBorder="1" applyAlignment="1">
      <alignment horizontal="center" vertical="center" wrapText="1"/>
    </xf>
    <xf numFmtId="0" fontId="63" fillId="0" borderId="81" xfId="0" applyFont="1" applyBorder="1" applyAlignment="1">
      <alignment horizontal="center" vertical="center" wrapText="1"/>
    </xf>
    <xf numFmtId="0" fontId="63" fillId="0" borderId="42" xfId="0" applyFont="1" applyBorder="1" applyAlignment="1">
      <alignment horizontal="center" vertical="center" wrapText="1"/>
    </xf>
    <xf numFmtId="0" fontId="63" fillId="0" borderId="53" xfId="0" applyFont="1" applyBorder="1" applyAlignment="1">
      <alignment horizontal="center" vertical="center" wrapText="1"/>
    </xf>
    <xf numFmtId="0" fontId="63" fillId="0" borderId="75" xfId="0" applyFont="1" applyBorder="1" applyAlignment="1">
      <alignment horizontal="center" vertical="center" wrapText="1"/>
    </xf>
    <xf numFmtId="0" fontId="63" fillId="0" borderId="78" xfId="0" applyFont="1" applyBorder="1" applyAlignment="1">
      <alignment horizontal="center" vertical="center" wrapText="1"/>
    </xf>
    <xf numFmtId="0" fontId="29" fillId="0" borderId="31" xfId="6" applyFont="1" applyBorder="1" applyAlignment="1">
      <alignment horizontal="center" vertical="center" wrapText="1"/>
    </xf>
    <xf numFmtId="0" fontId="63" fillId="0" borderId="9" xfId="6" applyFont="1" applyBorder="1" applyAlignment="1">
      <alignment horizontal="center" vertical="center" wrapText="1"/>
    </xf>
    <xf numFmtId="0" fontId="63" fillId="9" borderId="52" xfId="6" applyFont="1" applyFill="1" applyBorder="1" applyAlignment="1">
      <alignment horizontal="left" vertical="center" wrapText="1"/>
    </xf>
    <xf numFmtId="0" fontId="63" fillId="9" borderId="53" xfId="6" applyFont="1" applyFill="1" applyBorder="1" applyAlignment="1">
      <alignment horizontal="left" vertical="center" wrapText="1"/>
    </xf>
    <xf numFmtId="0" fontId="63" fillId="0" borderId="34" xfId="6" applyFont="1" applyBorder="1" applyAlignment="1">
      <alignment horizontal="center" vertical="center"/>
    </xf>
    <xf numFmtId="0" fontId="63" fillId="0" borderId="26" xfId="6" applyFont="1" applyBorder="1" applyAlignment="1">
      <alignment vertical="center" wrapText="1"/>
    </xf>
    <xf numFmtId="0" fontId="54" fillId="0" borderId="49" xfId="0" applyFont="1" applyBorder="1" applyAlignment="1">
      <alignment vertical="center"/>
    </xf>
    <xf numFmtId="0" fontId="54" fillId="0" borderId="39" xfId="0" applyFont="1" applyBorder="1" applyAlignment="1">
      <alignment vertical="center"/>
    </xf>
    <xf numFmtId="0" fontId="63" fillId="0" borderId="17" xfId="0" applyFont="1" applyBorder="1" applyAlignment="1">
      <alignment horizontal="center" vertical="center" wrapText="1"/>
    </xf>
    <xf numFmtId="0" fontId="54" fillId="0" borderId="9" xfId="0" applyFont="1" applyBorder="1" applyAlignment="1">
      <alignment horizontal="center" vertical="center"/>
    </xf>
    <xf numFmtId="0" fontId="63" fillId="0" borderId="18" xfId="0" applyFont="1" applyBorder="1" applyAlignment="1">
      <alignment horizontal="center" vertical="center" wrapText="1"/>
    </xf>
    <xf numFmtId="0" fontId="54" fillId="0" borderId="3" xfId="0" applyFont="1" applyBorder="1" applyAlignment="1">
      <alignment horizontal="center" vertical="center"/>
    </xf>
    <xf numFmtId="0" fontId="63" fillId="0" borderId="7" xfId="6" applyFont="1" applyBorder="1" applyAlignment="1">
      <alignment horizontal="center" vertical="center" wrapText="1"/>
    </xf>
    <xf numFmtId="1" fontId="29" fillId="0" borderId="24" xfId="0" applyNumberFormat="1" applyFont="1" applyBorder="1" applyAlignment="1">
      <alignment horizontal="center" vertical="center"/>
    </xf>
    <xf numFmtId="1" fontId="29" fillId="0" borderId="81" xfId="0" applyNumberFormat="1" applyFont="1" applyBorder="1" applyAlignment="1">
      <alignment horizontal="center" vertical="center"/>
    </xf>
    <xf numFmtId="1" fontId="29" fillId="0" borderId="42" xfId="0" applyNumberFormat="1" applyFont="1" applyBorder="1" applyAlignment="1">
      <alignment horizontal="center" vertical="center"/>
    </xf>
    <xf numFmtId="1" fontId="29" fillId="0" borderId="53" xfId="0" applyNumberFormat="1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29" fillId="0" borderId="75" xfId="0" applyFont="1" applyBorder="1" applyAlignment="1">
      <alignment vertical="center"/>
    </xf>
    <xf numFmtId="0" fontId="54" fillId="0" borderId="79" xfId="0" applyFont="1" applyBorder="1" applyAlignment="1">
      <alignment vertical="center"/>
    </xf>
    <xf numFmtId="0" fontId="29" fillId="0" borderId="54" xfId="0" applyFont="1" applyBorder="1" applyAlignment="1">
      <alignment horizontal="center" vertical="center"/>
    </xf>
    <xf numFmtId="0" fontId="29" fillId="0" borderId="52" xfId="0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79" fillId="0" borderId="19" xfId="0" applyFont="1" applyBorder="1" applyAlignment="1">
      <alignment horizontal="center" vertical="center"/>
    </xf>
    <xf numFmtId="0" fontId="79" fillId="0" borderId="48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3" fontId="79" fillId="0" borderId="47" xfId="0" applyNumberFormat="1" applyFont="1" applyBorder="1" applyAlignment="1">
      <alignment horizontal="right" vertical="center"/>
    </xf>
    <xf numFmtId="3" fontId="79" fillId="0" borderId="11" xfId="0" applyNumberFormat="1" applyFont="1" applyBorder="1" applyAlignment="1">
      <alignment horizontal="right" vertical="center"/>
    </xf>
    <xf numFmtId="0" fontId="79" fillId="0" borderId="5" xfId="0" applyFont="1" applyBorder="1" applyAlignment="1">
      <alignment horizontal="left" vertical="center" wrapText="1"/>
    </xf>
    <xf numFmtId="0" fontId="79" fillId="0" borderId="4" xfId="0" applyFont="1" applyBorder="1" applyAlignment="1">
      <alignment horizontal="left" vertical="center" wrapText="1"/>
    </xf>
    <xf numFmtId="3" fontId="79" fillId="0" borderId="19" xfId="0" applyNumberFormat="1" applyFont="1" applyBorder="1" applyAlignment="1">
      <alignment horizontal="right" vertical="center"/>
    </xf>
    <xf numFmtId="3" fontId="79" fillId="0" borderId="48" xfId="0" applyNumberFormat="1" applyFont="1" applyBorder="1" applyAlignment="1">
      <alignment horizontal="right" vertical="center"/>
    </xf>
    <xf numFmtId="0" fontId="54" fillId="0" borderId="5" xfId="0" applyFont="1" applyBorder="1" applyAlignment="1">
      <alignment horizontal="left" vertical="center" wrapText="1"/>
    </xf>
    <xf numFmtId="0" fontId="54" fillId="0" borderId="1" xfId="0" applyFont="1" applyBorder="1" applyAlignment="1">
      <alignment horizontal="left" vertical="center" wrapText="1"/>
    </xf>
    <xf numFmtId="0" fontId="64" fillId="0" borderId="5" xfId="0" applyFont="1" applyBorder="1" applyAlignment="1">
      <alignment horizontal="left" vertical="center" wrapText="1"/>
    </xf>
    <xf numFmtId="0" fontId="64" fillId="0" borderId="1" xfId="0" applyFont="1" applyBorder="1" applyAlignment="1">
      <alignment horizontal="left" vertical="center" wrapText="1"/>
    </xf>
    <xf numFmtId="3" fontId="63" fillId="0" borderId="19" xfId="0" applyNumberFormat="1" applyFont="1" applyBorder="1" applyAlignment="1">
      <alignment horizontal="right" vertical="center"/>
    </xf>
    <xf numFmtId="3" fontId="63" fillId="0" borderId="48" xfId="0" applyNumberFormat="1" applyFont="1" applyBorder="1" applyAlignment="1">
      <alignment horizontal="right" vertical="center"/>
    </xf>
    <xf numFmtId="0" fontId="29" fillId="0" borderId="0" xfId="51" applyFont="1" applyFill="1" applyAlignment="1" applyProtection="1">
      <alignment horizontal="center" vertical="center" wrapText="1"/>
      <protection locked="0"/>
    </xf>
    <xf numFmtId="0" fontId="29" fillId="0" borderId="0" xfId="51" applyFont="1" applyFill="1" applyAlignment="1" applyProtection="1">
      <alignment horizontal="center" vertical="center"/>
      <protection locked="0"/>
    </xf>
    <xf numFmtId="0" fontId="76" fillId="0" borderId="76" xfId="51" applyFont="1" applyFill="1" applyBorder="1" applyAlignment="1" applyProtection="1">
      <alignment horizontal="left" vertical="center"/>
    </xf>
    <xf numFmtId="0" fontId="76" fillId="0" borderId="80" xfId="51" applyFont="1" applyFill="1" applyBorder="1" applyAlignment="1" applyProtection="1">
      <alignment horizontal="left" vertical="center"/>
    </xf>
    <xf numFmtId="0" fontId="76" fillId="0" borderId="35" xfId="51" applyFont="1" applyFill="1" applyBorder="1" applyAlignment="1" applyProtection="1">
      <alignment horizontal="left" vertical="center"/>
    </xf>
    <xf numFmtId="3" fontId="71" fillId="0" borderId="0" xfId="4" applyNumberFormat="1" applyFont="1" applyBorder="1" applyAlignment="1">
      <alignment horizontal="center" vertical="center"/>
    </xf>
    <xf numFmtId="0" fontId="71" fillId="0" borderId="86" xfId="0" applyFont="1" applyBorder="1" applyAlignment="1">
      <alignment horizontal="left" vertical="center"/>
    </xf>
    <xf numFmtId="0" fontId="71" fillId="0" borderId="43" xfId="0" applyFont="1" applyBorder="1" applyAlignment="1">
      <alignment horizontal="left" vertical="center"/>
    </xf>
    <xf numFmtId="0" fontId="71" fillId="0" borderId="69" xfId="0" applyFont="1" applyBorder="1" applyAlignment="1">
      <alignment horizontal="left" vertical="center"/>
    </xf>
    <xf numFmtId="41" fontId="71" fillId="0" borderId="41" xfId="0" applyNumberFormat="1" applyFont="1" applyBorder="1" applyAlignment="1">
      <alignment horizontal="left" vertical="center"/>
    </xf>
    <xf numFmtId="41" fontId="71" fillId="0" borderId="51" xfId="0" applyNumberFormat="1" applyFont="1" applyBorder="1" applyAlignment="1">
      <alignment horizontal="left" vertical="center"/>
    </xf>
    <xf numFmtId="41" fontId="71" fillId="0" borderId="40" xfId="0" applyNumberFormat="1" applyFont="1" applyBorder="1" applyAlignment="1">
      <alignment horizontal="left" vertical="center"/>
    </xf>
    <xf numFmtId="0" fontId="65" fillId="0" borderId="0" xfId="0" applyFont="1" applyAlignment="1">
      <alignment horizontal="center" vertical="center"/>
    </xf>
    <xf numFmtId="0" fontId="80" fillId="0" borderId="0" xfId="0" applyFont="1" applyFill="1" applyBorder="1" applyAlignment="1">
      <alignment horizontal="center" vertical="center"/>
    </xf>
    <xf numFmtId="0" fontId="80" fillId="0" borderId="0" xfId="0" applyFont="1" applyBorder="1" applyAlignment="1">
      <alignment horizontal="center" vertical="center"/>
    </xf>
    <xf numFmtId="166" fontId="65" fillId="0" borderId="0" xfId="0" applyNumberFormat="1" applyFont="1" applyFill="1" applyAlignment="1">
      <alignment horizontal="center" vertical="center" wrapText="1"/>
    </xf>
    <xf numFmtId="0" fontId="49" fillId="0" borderId="9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49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49" fillId="0" borderId="19" xfId="0" applyFont="1" applyBorder="1" applyAlignment="1">
      <alignment horizontal="center" vertical="center" wrapText="1"/>
    </xf>
    <xf numFmtId="0" fontId="49" fillId="0" borderId="53" xfId="0" applyFont="1" applyBorder="1" applyAlignment="1">
      <alignment horizontal="center" vertical="center" wrapText="1"/>
    </xf>
    <xf numFmtId="0" fontId="49" fillId="0" borderId="26" xfId="0" applyFont="1" applyBorder="1" applyAlignment="1">
      <alignment horizontal="center" wrapText="1"/>
    </xf>
    <xf numFmtId="0" fontId="49" fillId="0" borderId="49" xfId="0" applyFont="1" applyBorder="1" applyAlignment="1">
      <alignment horizontal="center" wrapText="1"/>
    </xf>
    <xf numFmtId="0" fontId="49" fillId="0" borderId="2" xfId="0" applyFont="1" applyBorder="1" applyAlignment="1">
      <alignment horizontal="center" wrapText="1"/>
    </xf>
  </cellXfs>
  <cellStyles count="53">
    <cellStyle name="20% - 1. jelölőszín 2" xfId="9"/>
    <cellStyle name="20% - 2. jelölőszín 2" xfId="10"/>
    <cellStyle name="20% - 3. jelölőszín 2" xfId="11"/>
    <cellStyle name="20% - 4. jelölőszín 2" xfId="12"/>
    <cellStyle name="20% - 5. jelölőszín 2" xfId="13"/>
    <cellStyle name="20% - 6. jelölőszín 2" xfId="14"/>
    <cellStyle name="40% - 1. jelölőszín 2" xfId="15"/>
    <cellStyle name="40% - 2. jelölőszín 2" xfId="16"/>
    <cellStyle name="40% - 3. jelölőszín 2" xfId="17"/>
    <cellStyle name="40% - 4. jelölőszín 2" xfId="18"/>
    <cellStyle name="40% - 5. jelölőszín 2" xfId="19"/>
    <cellStyle name="40% - 6. jelölőszín 2" xfId="20"/>
    <cellStyle name="60% - 1. jelölőszín 2" xfId="21"/>
    <cellStyle name="60% - 2. jelölőszín 2" xfId="22"/>
    <cellStyle name="60% - 3. jelölőszín 2" xfId="23"/>
    <cellStyle name="60% - 4. jelölőszín 2" xfId="24"/>
    <cellStyle name="60% - 5. jelölőszín 2" xfId="25"/>
    <cellStyle name="60% - 6. jelölőszín 2" xfId="26"/>
    <cellStyle name="Bevitel 2" xfId="27"/>
    <cellStyle name="Cím 2" xfId="28"/>
    <cellStyle name="Címsor 1 2" xfId="29"/>
    <cellStyle name="Címsor 2 2" xfId="30"/>
    <cellStyle name="Címsor 3 2" xfId="31"/>
    <cellStyle name="Címsor 4 2" xfId="32"/>
    <cellStyle name="Ellenőrzőcella 2" xfId="33"/>
    <cellStyle name="Ezres" xfId="1" builtinId="3"/>
    <cellStyle name="Figyelmeztetés 2" xfId="34"/>
    <cellStyle name="Hivatkozott cella 2" xfId="35"/>
    <cellStyle name="Jegyzet 2" xfId="36"/>
    <cellStyle name="Jelölőszín (1) 2" xfId="37"/>
    <cellStyle name="Jelölőszín (2) 2" xfId="38"/>
    <cellStyle name="Jelölőszín (3)" xfId="52" builtinId="37"/>
    <cellStyle name="Jelölőszín (3) 2" xfId="39"/>
    <cellStyle name="Jelölőszín (4) 2" xfId="40"/>
    <cellStyle name="Jelölőszín (5) 2" xfId="41"/>
    <cellStyle name="Jelölőszín (6) 2" xfId="42"/>
    <cellStyle name="Jó" xfId="50" builtinId="26"/>
    <cellStyle name="Jó 2" xfId="43"/>
    <cellStyle name="Kimenet" xfId="2" builtinId="21"/>
    <cellStyle name="Kimenet 2" xfId="44"/>
    <cellStyle name="Magyarázó szöveg 2" xfId="45"/>
    <cellStyle name="Normál" xfId="0" builtinId="0"/>
    <cellStyle name="Normál 2" xfId="3"/>
    <cellStyle name="Normál 2 2" xfId="4"/>
    <cellStyle name="Normál 2 3" xfId="5"/>
    <cellStyle name="Normál_KÖLTS98" xfId="6"/>
    <cellStyle name="Normál_SEGEDLETEK" xfId="51"/>
    <cellStyle name="Összesen 2" xfId="46"/>
    <cellStyle name="Pénznem 2" xfId="7"/>
    <cellStyle name="Rossz 2" xfId="47"/>
    <cellStyle name="Semleges 2" xfId="48"/>
    <cellStyle name="Számítás 2" xfId="49"/>
    <cellStyle name="Százalék" xfId="8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6FFDF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B32"/>
  <sheetViews>
    <sheetView view="pageLayout" zoomScale="80" zoomScaleNormal="100" zoomScaleSheetLayoutView="100" zoomScalePageLayoutView="80" workbookViewId="0">
      <selection activeCell="A2" sqref="A2"/>
    </sheetView>
  </sheetViews>
  <sheetFormatPr defaultColWidth="10.42578125" defaultRowHeight="18.75" customHeight="1" x14ac:dyDescent="0.25"/>
  <cols>
    <col min="1" max="1" width="10.28515625" style="5" customWidth="1"/>
    <col min="2" max="2" width="75" style="6" customWidth="1"/>
    <col min="3" max="16384" width="10.42578125" style="6"/>
  </cols>
  <sheetData>
    <row r="1" spans="1:2" ht="31.5" customHeight="1" x14ac:dyDescent="0.25">
      <c r="A1" s="1573" t="s">
        <v>11</v>
      </c>
      <c r="B1" s="1573"/>
    </row>
    <row r="2" spans="1:2" ht="18.75" customHeight="1" x14ac:dyDescent="0.25">
      <c r="A2" s="72" t="s">
        <v>12</v>
      </c>
      <c r="B2" s="7" t="s">
        <v>13</v>
      </c>
    </row>
    <row r="3" spans="1:2" ht="18.75" customHeight="1" x14ac:dyDescent="0.25">
      <c r="A3" s="1568" t="s">
        <v>61</v>
      </c>
      <c r="B3" s="1569" t="s">
        <v>455</v>
      </c>
    </row>
    <row r="4" spans="1:2" ht="18.75" customHeight="1" x14ac:dyDescent="0.25">
      <c r="A4" s="1568"/>
      <c r="B4" s="1569"/>
    </row>
    <row r="5" spans="1:2" ht="22.9" customHeight="1" x14ac:dyDescent="0.25">
      <c r="A5" s="72" t="s">
        <v>223</v>
      </c>
      <c r="B5" s="74" t="s">
        <v>493</v>
      </c>
    </row>
    <row r="6" spans="1:2" ht="22.9" customHeight="1" x14ac:dyDescent="0.25">
      <c r="A6" s="72" t="s">
        <v>224</v>
      </c>
      <c r="B6" s="74" t="s">
        <v>492</v>
      </c>
    </row>
    <row r="7" spans="1:2" ht="22.9" customHeight="1" x14ac:dyDescent="0.25">
      <c r="A7" s="72" t="s">
        <v>262</v>
      </c>
      <c r="B7" s="74" t="s">
        <v>489</v>
      </c>
    </row>
    <row r="8" spans="1:2" ht="22.9" customHeight="1" x14ac:dyDescent="0.25">
      <c r="A8" s="72" t="s">
        <v>265</v>
      </c>
      <c r="B8" s="74" t="s">
        <v>490</v>
      </c>
    </row>
    <row r="9" spans="1:2" ht="22.9" customHeight="1" x14ac:dyDescent="0.25">
      <c r="A9" s="72" t="s">
        <v>266</v>
      </c>
      <c r="B9" s="74" t="s">
        <v>201</v>
      </c>
    </row>
    <row r="10" spans="1:2" ht="22.9" customHeight="1" x14ac:dyDescent="0.25">
      <c r="A10" s="72" t="s">
        <v>267</v>
      </c>
      <c r="B10" s="74" t="s">
        <v>491</v>
      </c>
    </row>
    <row r="11" spans="1:2" ht="22.9" customHeight="1" x14ac:dyDescent="0.25">
      <c r="A11" s="72" t="s">
        <v>268</v>
      </c>
      <c r="B11" s="74" t="s">
        <v>455</v>
      </c>
    </row>
    <row r="12" spans="1:2" s="10" customFormat="1" ht="18.75" customHeight="1" x14ac:dyDescent="0.25">
      <c r="A12" s="1570" t="s">
        <v>99</v>
      </c>
      <c r="B12" s="76" t="s">
        <v>833</v>
      </c>
    </row>
    <row r="13" spans="1:2" s="10" customFormat="1" ht="18.75" customHeight="1" x14ac:dyDescent="0.25">
      <c r="A13" s="1571"/>
      <c r="B13" s="75" t="s">
        <v>39</v>
      </c>
    </row>
    <row r="14" spans="1:2" s="10" customFormat="1" ht="18.75" customHeight="1" x14ac:dyDescent="0.25">
      <c r="A14" s="1571"/>
      <c r="B14" s="75" t="s">
        <v>8</v>
      </c>
    </row>
    <row r="15" spans="1:2" s="10" customFormat="1" ht="18.75" customHeight="1" x14ac:dyDescent="0.25">
      <c r="A15" s="1571"/>
      <c r="B15" s="75" t="s">
        <v>9</v>
      </c>
    </row>
    <row r="16" spans="1:2" s="10" customFormat="1" ht="18.75" customHeight="1" x14ac:dyDescent="0.25">
      <c r="A16" s="1571"/>
      <c r="B16" s="75" t="s">
        <v>284</v>
      </c>
    </row>
    <row r="17" spans="1:2" s="10" customFormat="1" ht="18.75" customHeight="1" x14ac:dyDescent="0.25">
      <c r="A17" s="1572"/>
      <c r="B17" s="75" t="s">
        <v>286</v>
      </c>
    </row>
    <row r="18" spans="1:2" ht="37.700000000000003" customHeight="1" x14ac:dyDescent="0.25">
      <c r="A18" s="72" t="s">
        <v>62</v>
      </c>
      <c r="B18" s="73" t="s">
        <v>248</v>
      </c>
    </row>
    <row r="19" spans="1:2" ht="22.9" customHeight="1" x14ac:dyDescent="0.25">
      <c r="A19" s="72" t="s">
        <v>269</v>
      </c>
      <c r="B19" s="74" t="s">
        <v>78</v>
      </c>
    </row>
    <row r="20" spans="1:2" ht="30" x14ac:dyDescent="0.25">
      <c r="A20" s="72" t="s">
        <v>270</v>
      </c>
      <c r="B20" s="74" t="s">
        <v>89</v>
      </c>
    </row>
    <row r="21" spans="1:2" ht="22.9" customHeight="1" x14ac:dyDescent="0.25">
      <c r="A21" s="72" t="s">
        <v>271</v>
      </c>
      <c r="B21" s="74" t="s">
        <v>92</v>
      </c>
    </row>
    <row r="22" spans="1:2" ht="22.9" customHeight="1" x14ac:dyDescent="0.25">
      <c r="A22" s="72" t="s">
        <v>272</v>
      </c>
      <c r="B22" s="74" t="s">
        <v>100</v>
      </c>
    </row>
    <row r="23" spans="1:2" ht="22.9" customHeight="1" x14ac:dyDescent="0.25">
      <c r="A23" s="72" t="s">
        <v>273</v>
      </c>
      <c r="B23" s="74" t="s">
        <v>102</v>
      </c>
    </row>
    <row r="24" spans="1:2" ht="22.9" customHeight="1" x14ac:dyDescent="0.25">
      <c r="A24" s="72" t="s">
        <v>274</v>
      </c>
      <c r="B24" s="74" t="s">
        <v>106</v>
      </c>
    </row>
    <row r="25" spans="1:2" ht="22.9" customHeight="1" x14ac:dyDescent="0.25">
      <c r="A25" s="72" t="s">
        <v>275</v>
      </c>
      <c r="B25" s="74" t="s">
        <v>10</v>
      </c>
    </row>
    <row r="26" spans="1:2" ht="37.700000000000003" customHeight="1" x14ac:dyDescent="0.25">
      <c r="A26" s="8" t="s">
        <v>276</v>
      </c>
      <c r="B26" s="73" t="s">
        <v>305</v>
      </c>
    </row>
    <row r="27" spans="1:2" ht="22.9" customHeight="1" x14ac:dyDescent="0.25">
      <c r="A27" s="72" t="s">
        <v>277</v>
      </c>
      <c r="B27" s="74" t="s">
        <v>78</v>
      </c>
    </row>
    <row r="28" spans="1:2" ht="30" x14ac:dyDescent="0.25">
      <c r="A28" s="77" t="s">
        <v>278</v>
      </c>
      <c r="B28" s="74" t="s">
        <v>89</v>
      </c>
    </row>
    <row r="29" spans="1:2" ht="22.9" customHeight="1" x14ac:dyDescent="0.25">
      <c r="A29" s="72" t="s">
        <v>279</v>
      </c>
      <c r="B29" s="74" t="s">
        <v>149</v>
      </c>
    </row>
    <row r="30" spans="1:2" ht="22.9" customHeight="1" x14ac:dyDescent="0.25">
      <c r="A30" s="72" t="s">
        <v>280</v>
      </c>
      <c r="B30" s="74" t="s">
        <v>92</v>
      </c>
    </row>
    <row r="31" spans="1:2" ht="22.9" customHeight="1" x14ac:dyDescent="0.25">
      <c r="A31" s="72" t="s">
        <v>281</v>
      </c>
      <c r="B31" s="74" t="s">
        <v>100</v>
      </c>
    </row>
    <row r="32" spans="1:2" ht="22.9" customHeight="1" x14ac:dyDescent="0.25">
      <c r="A32" s="72" t="s">
        <v>282</v>
      </c>
      <c r="B32" s="74" t="s">
        <v>102</v>
      </c>
    </row>
  </sheetData>
  <mergeCells count="4">
    <mergeCell ref="A3:A4"/>
    <mergeCell ref="B3:B4"/>
    <mergeCell ref="A12:A17"/>
    <mergeCell ref="A1:B1"/>
  </mergeCells>
  <phoneticPr fontId="13" type="noConversion"/>
  <printOptions horizontalCentered="1"/>
  <pageMargins left="0.82677165354330717" right="0.82677165354330717" top="0.74803149606299213" bottom="0.74803149606299213" header="0.31496062992125984" footer="0.31496062992125984"/>
  <pageSetup paperSize="9" orientation="portrait" r:id="rId1"/>
  <headerFooter>
    <oddHeader>&amp;L&amp;"Arial,Dőlt"&amp;8&amp;U 1. melléklet a 3//2014. (II. 15.) önkormányzati rendelethez</oddHeader>
    <oddFooter>&amp;C&amp;9 &amp;8Nagykőrös Város Önkormányzat 2014. évi költségvetési rendeletének I. sz. módosítása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93"/>
  <sheetViews>
    <sheetView view="pageLayout" topLeftCell="A55" zoomScaleNormal="100" zoomScaleSheetLayoutView="70" workbookViewId="0">
      <selection activeCell="L79" sqref="L79"/>
    </sheetView>
  </sheetViews>
  <sheetFormatPr defaultColWidth="9.140625" defaultRowHeight="15" x14ac:dyDescent="0.2"/>
  <cols>
    <col min="1" max="1" width="5.28515625" style="98" customWidth="1"/>
    <col min="2" max="2" width="57" style="98" customWidth="1"/>
    <col min="3" max="3" width="16.28515625" style="139" customWidth="1"/>
    <col min="4" max="4" width="15.5703125" style="139" hidden="1" customWidth="1"/>
    <col min="5" max="8" width="16.28515625" style="139" hidden="1" customWidth="1"/>
    <col min="9" max="11" width="16.28515625" style="139" customWidth="1"/>
    <col min="12" max="12" width="17" style="98" bestFit="1" customWidth="1"/>
    <col min="13" max="13" width="15.42578125" style="98" bestFit="1" customWidth="1"/>
    <col min="14" max="14" width="11.42578125" style="98" customWidth="1"/>
    <col min="15" max="15" width="14.42578125" style="98" bestFit="1" customWidth="1"/>
    <col min="16" max="16384" width="9.140625" style="98"/>
  </cols>
  <sheetData>
    <row r="1" spans="1:15" ht="8.25" customHeight="1" x14ac:dyDescent="0.2">
      <c r="A1" s="1722" t="s">
        <v>931</v>
      </c>
      <c r="B1" s="1722"/>
      <c r="C1" s="1723"/>
      <c r="D1" s="1723"/>
      <c r="E1" s="1723"/>
      <c r="F1" s="1723"/>
      <c r="G1" s="1723"/>
      <c r="H1" s="1723"/>
      <c r="I1" s="1723"/>
      <c r="J1" s="1723"/>
      <c r="K1" s="1723"/>
      <c r="L1" s="1723"/>
      <c r="M1" s="1723"/>
      <c r="N1" s="1723"/>
    </row>
    <row r="2" spans="1:15" ht="21" customHeight="1" thickBot="1" x14ac:dyDescent="0.25">
      <c r="A2" s="1710"/>
      <c r="B2" s="1710"/>
      <c r="C2" s="1710"/>
      <c r="D2" s="1710"/>
      <c r="E2" s="1710"/>
      <c r="F2" s="1710"/>
      <c r="G2" s="1710"/>
      <c r="H2" s="1710"/>
      <c r="I2" s="1710"/>
      <c r="J2" s="1710"/>
      <c r="K2" s="1710"/>
      <c r="L2" s="1710"/>
      <c r="M2" s="1710"/>
      <c r="N2" s="1710"/>
    </row>
    <row r="3" spans="1:15" s="364" customFormat="1" ht="46.5" customHeight="1" thickBot="1" x14ac:dyDescent="0.25">
      <c r="A3" s="1719" t="s">
        <v>364</v>
      </c>
      <c r="B3" s="1720"/>
      <c r="C3" s="536" t="s">
        <v>289</v>
      </c>
      <c r="D3" s="536" t="s">
        <v>830</v>
      </c>
      <c r="E3" s="536" t="s">
        <v>157</v>
      </c>
      <c r="F3" s="536" t="s">
        <v>888</v>
      </c>
      <c r="G3" s="536" t="s">
        <v>932</v>
      </c>
      <c r="H3" s="536" t="s">
        <v>888</v>
      </c>
      <c r="I3" s="536" t="s">
        <v>932</v>
      </c>
      <c r="J3" s="536" t="s">
        <v>888</v>
      </c>
      <c r="K3" s="536" t="s">
        <v>880</v>
      </c>
      <c r="L3" s="537" t="s">
        <v>826</v>
      </c>
      <c r="M3" s="537" t="s">
        <v>326</v>
      </c>
      <c r="N3" s="538" t="s">
        <v>827</v>
      </c>
    </row>
    <row r="4" spans="1:15" s="364" customFormat="1" ht="28.35" customHeight="1" x14ac:dyDescent="0.2">
      <c r="A4" s="1128"/>
      <c r="B4" s="1126" t="s">
        <v>567</v>
      </c>
      <c r="C4" s="1136"/>
      <c r="D4" s="1136"/>
      <c r="E4" s="1136"/>
      <c r="F4" s="1136"/>
      <c r="G4" s="1136"/>
      <c r="H4" s="1136"/>
      <c r="I4" s="1136"/>
      <c r="J4" s="1136"/>
      <c r="K4" s="1136"/>
      <c r="L4" s="1136"/>
      <c r="M4" s="1136"/>
      <c r="N4" s="1135"/>
      <c r="O4" s="1039">
        <f>L4+M4+N4</f>
        <v>0</v>
      </c>
    </row>
    <row r="5" spans="1:15" s="111" customFormat="1" ht="33" customHeight="1" x14ac:dyDescent="0.2">
      <c r="A5" s="1170" t="s">
        <v>61</v>
      </c>
      <c r="B5" s="1127" t="s">
        <v>858</v>
      </c>
      <c r="C5" s="1173"/>
      <c r="D5" s="1174">
        <f>'7'!D10</f>
        <v>2030</v>
      </c>
      <c r="E5" s="1174">
        <f>C5+D5</f>
        <v>2030</v>
      </c>
      <c r="F5" s="1174">
        <v>1500</v>
      </c>
      <c r="G5" s="1174">
        <v>3530</v>
      </c>
      <c r="H5" s="1174">
        <f>298+424</f>
        <v>722</v>
      </c>
      <c r="I5" s="1174">
        <f t="shared" ref="I5:K10" si="0">G5+H5</f>
        <v>4252</v>
      </c>
      <c r="J5" s="1174">
        <v>-200</v>
      </c>
      <c r="K5" s="1174">
        <f t="shared" si="0"/>
        <v>4052</v>
      </c>
      <c r="L5" s="1174">
        <v>4052</v>
      </c>
      <c r="M5" s="1175">
        <f>SUM(M4)</f>
        <v>0</v>
      </c>
      <c r="N5" s="1176">
        <f>SUM(N4)</f>
        <v>0</v>
      </c>
      <c r="O5" s="1039">
        <f>L5+M5+N5</f>
        <v>4052</v>
      </c>
    </row>
    <row r="6" spans="1:15" s="111" customFormat="1" ht="26.1" customHeight="1" x14ac:dyDescent="0.2">
      <c r="A6" s="1170" t="s">
        <v>62</v>
      </c>
      <c r="B6" s="1134" t="s">
        <v>864</v>
      </c>
      <c r="C6" s="1173"/>
      <c r="D6" s="1174">
        <f>'7'!D23</f>
        <v>1377</v>
      </c>
      <c r="E6" s="1174">
        <f t="shared" ref="E6:E17" si="1">C6+D6</f>
        <v>1377</v>
      </c>
      <c r="F6" s="1174"/>
      <c r="G6" s="1174">
        <v>1377</v>
      </c>
      <c r="H6" s="1174">
        <v>858</v>
      </c>
      <c r="I6" s="1174">
        <f t="shared" si="0"/>
        <v>2235</v>
      </c>
      <c r="J6" s="1174">
        <v>384</v>
      </c>
      <c r="K6" s="1174">
        <f t="shared" si="0"/>
        <v>2619</v>
      </c>
      <c r="L6" s="1174">
        <v>2619</v>
      </c>
      <c r="M6" s="1175"/>
      <c r="N6" s="1176"/>
      <c r="O6" s="1039"/>
    </row>
    <row r="7" spans="1:15" s="111" customFormat="1" ht="26.1" customHeight="1" x14ac:dyDescent="0.2">
      <c r="A7" s="1170" t="s">
        <v>63</v>
      </c>
      <c r="B7" s="1133" t="s">
        <v>873</v>
      </c>
      <c r="C7" s="1173"/>
      <c r="D7" s="1174">
        <f>'7'!D36</f>
        <v>1295</v>
      </c>
      <c r="E7" s="1174">
        <f t="shared" si="1"/>
        <v>1295</v>
      </c>
      <c r="F7" s="1174"/>
      <c r="G7" s="1174">
        <f>E7+F7</f>
        <v>1295</v>
      </c>
      <c r="H7" s="1174">
        <v>26</v>
      </c>
      <c r="I7" s="1174">
        <f t="shared" si="0"/>
        <v>1321</v>
      </c>
      <c r="J7" s="1174">
        <v>1042</v>
      </c>
      <c r="K7" s="1174">
        <f t="shared" si="0"/>
        <v>2363</v>
      </c>
      <c r="L7" s="1174">
        <v>2363</v>
      </c>
      <c r="M7" s="1175"/>
      <c r="N7" s="1176"/>
      <c r="O7" s="1039"/>
    </row>
    <row r="8" spans="1:15" s="111" customFormat="1" ht="26.1" customHeight="1" x14ac:dyDescent="0.2">
      <c r="A8" s="1170" t="s">
        <v>64</v>
      </c>
      <c r="B8" s="1133" t="s">
        <v>876</v>
      </c>
      <c r="C8" s="1173"/>
      <c r="D8" s="1174">
        <f>'7'!D49</f>
        <v>1933</v>
      </c>
      <c r="E8" s="1174">
        <f t="shared" si="1"/>
        <v>1933</v>
      </c>
      <c r="F8" s="1174"/>
      <c r="G8" s="1174">
        <f>E8+F8</f>
        <v>1933</v>
      </c>
      <c r="H8" s="1174"/>
      <c r="I8" s="1174">
        <f t="shared" si="0"/>
        <v>1933</v>
      </c>
      <c r="J8" s="1174"/>
      <c r="K8" s="1174">
        <f t="shared" si="0"/>
        <v>1933</v>
      </c>
      <c r="L8" s="1174">
        <v>1933</v>
      </c>
      <c r="M8" s="1175"/>
      <c r="N8" s="1176"/>
      <c r="O8" s="1039"/>
    </row>
    <row r="9" spans="1:15" s="111" customFormat="1" ht="26.1" customHeight="1" x14ac:dyDescent="0.2">
      <c r="A9" s="1170" t="s">
        <v>65</v>
      </c>
      <c r="B9" s="1133" t="s">
        <v>875</v>
      </c>
      <c r="C9" s="1173"/>
      <c r="D9" s="1174">
        <f>'7'!D62</f>
        <v>1600</v>
      </c>
      <c r="E9" s="1174">
        <f t="shared" si="1"/>
        <v>1600</v>
      </c>
      <c r="F9" s="1174">
        <v>-800</v>
      </c>
      <c r="G9" s="1174">
        <f>E9+F9</f>
        <v>800</v>
      </c>
      <c r="H9" s="1174"/>
      <c r="I9" s="1174">
        <f t="shared" si="0"/>
        <v>800</v>
      </c>
      <c r="J9" s="1174">
        <v>2</v>
      </c>
      <c r="K9" s="1174">
        <f t="shared" si="0"/>
        <v>802</v>
      </c>
      <c r="L9" s="1174">
        <v>802</v>
      </c>
      <c r="M9" s="1175"/>
      <c r="N9" s="1176"/>
      <c r="O9" s="1039"/>
    </row>
    <row r="10" spans="1:15" s="111" customFormat="1" ht="26.1" customHeight="1" x14ac:dyDescent="0.2">
      <c r="A10" s="1170" t="s">
        <v>66</v>
      </c>
      <c r="B10" s="1133" t="s">
        <v>874</v>
      </c>
      <c r="C10" s="1173"/>
      <c r="D10" s="1174">
        <f>'7'!D75</f>
        <v>927</v>
      </c>
      <c r="E10" s="1174">
        <f t="shared" si="1"/>
        <v>927</v>
      </c>
      <c r="F10" s="1174"/>
      <c r="G10" s="1174">
        <f>E10+F10</f>
        <v>927</v>
      </c>
      <c r="H10" s="1174"/>
      <c r="I10" s="1174">
        <f t="shared" si="0"/>
        <v>927</v>
      </c>
      <c r="J10" s="1174"/>
      <c r="K10" s="1174">
        <f t="shared" si="0"/>
        <v>927</v>
      </c>
      <c r="L10" s="1174">
        <v>927</v>
      </c>
      <c r="M10" s="1175"/>
      <c r="N10" s="1176"/>
      <c r="O10" s="1039"/>
    </row>
    <row r="11" spans="1:15" s="111" customFormat="1" ht="26.1" customHeight="1" x14ac:dyDescent="0.2">
      <c r="A11" s="1170" t="s">
        <v>67</v>
      </c>
      <c r="B11" s="1132" t="s">
        <v>455</v>
      </c>
      <c r="C11" s="1173"/>
      <c r="D11" s="1174">
        <f>SUM(D12:D17)</f>
        <v>22811</v>
      </c>
      <c r="E11" s="1174">
        <v>23047</v>
      </c>
      <c r="F11" s="1174">
        <f t="shared" ref="F11:L11" si="2">SUM(F12:F17)</f>
        <v>226</v>
      </c>
      <c r="G11" s="1174">
        <f t="shared" si="2"/>
        <v>23273</v>
      </c>
      <c r="H11" s="1174">
        <f t="shared" si="2"/>
        <v>0</v>
      </c>
      <c r="I11" s="1174">
        <f t="shared" si="2"/>
        <v>23273</v>
      </c>
      <c r="J11" s="1174">
        <f t="shared" si="2"/>
        <v>-5016</v>
      </c>
      <c r="K11" s="1174">
        <f t="shared" si="2"/>
        <v>18257</v>
      </c>
      <c r="L11" s="1174">
        <f t="shared" si="2"/>
        <v>9177</v>
      </c>
      <c r="M11" s="1174">
        <f>SUM(M12:M17)</f>
        <v>9080</v>
      </c>
      <c r="N11" s="1176"/>
      <c r="O11" s="1039"/>
    </row>
    <row r="12" spans="1:15" s="1295" customFormat="1" ht="33" customHeight="1" x14ac:dyDescent="0.2">
      <c r="A12" s="1459"/>
      <c r="B12" s="1289" t="s">
        <v>860</v>
      </c>
      <c r="C12" s="1290"/>
      <c r="D12" s="1291">
        <f>'7'!D101</f>
        <v>1566</v>
      </c>
      <c r="E12" s="1291">
        <f t="shared" si="1"/>
        <v>1566</v>
      </c>
      <c r="F12" s="1291"/>
      <c r="G12" s="1291">
        <f t="shared" ref="G12:G18" si="3">E12+F12</f>
        <v>1566</v>
      </c>
      <c r="H12" s="1291"/>
      <c r="I12" s="1291">
        <f t="shared" ref="I12:K18" si="4">G12+H12</f>
        <v>1566</v>
      </c>
      <c r="J12" s="1291">
        <v>-910</v>
      </c>
      <c r="K12" s="1291">
        <f t="shared" si="4"/>
        <v>656</v>
      </c>
      <c r="L12" s="1291">
        <v>656</v>
      </c>
      <c r="M12" s="1292"/>
      <c r="N12" s="1293"/>
      <c r="O12" s="1294"/>
    </row>
    <row r="13" spans="1:15" s="1295" customFormat="1" ht="24.95" customHeight="1" x14ac:dyDescent="0.2">
      <c r="A13" s="1460"/>
      <c r="B13" s="1289" t="s">
        <v>859</v>
      </c>
      <c r="C13" s="1290"/>
      <c r="D13" s="1291">
        <f>'7'!D114</f>
        <v>2413</v>
      </c>
      <c r="E13" s="1291">
        <f t="shared" si="1"/>
        <v>2413</v>
      </c>
      <c r="F13" s="1291"/>
      <c r="G13" s="1291">
        <f t="shared" si="3"/>
        <v>2413</v>
      </c>
      <c r="H13" s="1291"/>
      <c r="I13" s="1291">
        <f t="shared" si="4"/>
        <v>2413</v>
      </c>
      <c r="J13" s="1291">
        <v>-1880</v>
      </c>
      <c r="K13" s="1291">
        <f t="shared" si="4"/>
        <v>533</v>
      </c>
      <c r="L13" s="1291">
        <v>533</v>
      </c>
      <c r="M13" s="1292"/>
      <c r="N13" s="1293"/>
      <c r="O13" s="1294"/>
    </row>
    <row r="14" spans="1:15" s="1295" customFormat="1" ht="24.95" customHeight="1" x14ac:dyDescent="0.2">
      <c r="A14" s="1462"/>
      <c r="B14" s="1297" t="s">
        <v>861</v>
      </c>
      <c r="C14" s="1292"/>
      <c r="D14" s="1291">
        <f>'7'!D127</f>
        <v>11183</v>
      </c>
      <c r="E14" s="1291">
        <f t="shared" si="1"/>
        <v>11183</v>
      </c>
      <c r="F14" s="1291"/>
      <c r="G14" s="1291">
        <f t="shared" si="3"/>
        <v>11183</v>
      </c>
      <c r="H14" s="1291"/>
      <c r="I14" s="1291">
        <f t="shared" si="4"/>
        <v>11183</v>
      </c>
      <c r="J14" s="1291">
        <f>-2000-450</f>
        <v>-2450</v>
      </c>
      <c r="K14" s="1291">
        <f t="shared" si="4"/>
        <v>8733</v>
      </c>
      <c r="L14" s="1292"/>
      <c r="M14" s="1291">
        <v>8733</v>
      </c>
      <c r="N14" s="1298"/>
      <c r="O14" s="1294"/>
    </row>
    <row r="15" spans="1:15" s="1295" customFormat="1" ht="24.95" customHeight="1" x14ac:dyDescent="0.2">
      <c r="A15" s="1462"/>
      <c r="B15" s="1297" t="s">
        <v>863</v>
      </c>
      <c r="C15" s="1292"/>
      <c r="D15" s="1291">
        <f>'7'!D140</f>
        <v>0</v>
      </c>
      <c r="E15" s="1291">
        <v>216</v>
      </c>
      <c r="F15" s="1291">
        <v>126</v>
      </c>
      <c r="G15" s="1291">
        <f t="shared" si="3"/>
        <v>342</v>
      </c>
      <c r="H15" s="1291"/>
      <c r="I15" s="1291">
        <f t="shared" si="4"/>
        <v>342</v>
      </c>
      <c r="J15" s="1291">
        <v>5</v>
      </c>
      <c r="K15" s="1291">
        <f t="shared" si="4"/>
        <v>347</v>
      </c>
      <c r="L15" s="1292"/>
      <c r="M15" s="1291">
        <v>347</v>
      </c>
      <c r="N15" s="1298"/>
      <c r="O15" s="1294"/>
    </row>
    <row r="16" spans="1:15" s="1295" customFormat="1" ht="33" customHeight="1" x14ac:dyDescent="0.2">
      <c r="A16" s="1462"/>
      <c r="B16" s="1297" t="s">
        <v>862</v>
      </c>
      <c r="C16" s="1292"/>
      <c r="D16" s="1291">
        <f>'7'!D153</f>
        <v>101</v>
      </c>
      <c r="E16" s="1291">
        <v>121</v>
      </c>
      <c r="F16" s="1291">
        <v>100</v>
      </c>
      <c r="G16" s="1291">
        <f t="shared" si="3"/>
        <v>221</v>
      </c>
      <c r="H16" s="1291"/>
      <c r="I16" s="1291">
        <f t="shared" si="4"/>
        <v>221</v>
      </c>
      <c r="J16" s="1291">
        <v>145</v>
      </c>
      <c r="K16" s="1291">
        <f t="shared" si="4"/>
        <v>366</v>
      </c>
      <c r="L16" s="1291">
        <v>366</v>
      </c>
      <c r="M16" s="1292"/>
      <c r="N16" s="1298"/>
      <c r="O16" s="1294"/>
    </row>
    <row r="17" spans="1:15" s="1295" customFormat="1" ht="24.95" customHeight="1" x14ac:dyDescent="0.2">
      <c r="A17" s="1461"/>
      <c r="B17" s="1297" t="s">
        <v>877</v>
      </c>
      <c r="C17" s="1292"/>
      <c r="D17" s="1291">
        <f>'7'!D166</f>
        <v>7548</v>
      </c>
      <c r="E17" s="1291">
        <f t="shared" si="1"/>
        <v>7548</v>
      </c>
      <c r="F17" s="1291"/>
      <c r="G17" s="1291">
        <f t="shared" si="3"/>
        <v>7548</v>
      </c>
      <c r="H17" s="1291"/>
      <c r="I17" s="1291">
        <f t="shared" si="4"/>
        <v>7548</v>
      </c>
      <c r="J17" s="1291">
        <v>74</v>
      </c>
      <c r="K17" s="1291">
        <f t="shared" si="4"/>
        <v>7622</v>
      </c>
      <c r="L17" s="1291">
        <v>7622</v>
      </c>
      <c r="M17" s="1292"/>
      <c r="N17" s="1298"/>
      <c r="O17" s="1294"/>
    </row>
    <row r="18" spans="1:15" s="111" customFormat="1" ht="24.75" customHeight="1" x14ac:dyDescent="0.2">
      <c r="A18" s="1171"/>
      <c r="B18" s="1137" t="s">
        <v>462</v>
      </c>
      <c r="C18" s="1175"/>
      <c r="D18" s="1175">
        <f>D5+D6+D7+D8+D9+D10+D11</f>
        <v>31973</v>
      </c>
      <c r="E18" s="1175">
        <v>32209</v>
      </c>
      <c r="F18" s="1175">
        <f>SUM(F5:F11)</f>
        <v>926</v>
      </c>
      <c r="G18" s="1175">
        <f t="shared" si="3"/>
        <v>33135</v>
      </c>
      <c r="H18" s="1175">
        <f>SUM(H5:H11)</f>
        <v>1606</v>
      </c>
      <c r="I18" s="1175">
        <f t="shared" si="4"/>
        <v>34741</v>
      </c>
      <c r="J18" s="1175">
        <f>SUM(J5:J11)</f>
        <v>-3788</v>
      </c>
      <c r="K18" s="1175">
        <f t="shared" si="4"/>
        <v>30953</v>
      </c>
      <c r="L18" s="1175">
        <f>L5+L6+L7+L8+L9+L10+L11</f>
        <v>21873</v>
      </c>
      <c r="M18" s="1175">
        <f>M5+M6+M7+M8+M9+M10+M11</f>
        <v>9080</v>
      </c>
      <c r="N18" s="1177"/>
      <c r="O18" s="1039"/>
    </row>
    <row r="19" spans="1:15" s="364" customFormat="1" ht="28.35" customHeight="1" thickBot="1" x14ac:dyDescent="0.25">
      <c r="A19" s="1131"/>
      <c r="B19" s="1130" t="s">
        <v>458</v>
      </c>
      <c r="C19" s="1178"/>
      <c r="D19" s="1178"/>
      <c r="E19" s="1178"/>
      <c r="F19" s="1178"/>
      <c r="G19" s="1178"/>
      <c r="H19" s="1178"/>
      <c r="I19" s="1178"/>
      <c r="J19" s="1178"/>
      <c r="K19" s="1178"/>
      <c r="L19" s="1179"/>
      <c r="M19" s="1179"/>
      <c r="N19" s="1180"/>
      <c r="O19" s="1039"/>
    </row>
    <row r="20" spans="1:15" s="364" customFormat="1" ht="33.950000000000003" customHeight="1" x14ac:dyDescent="0.2">
      <c r="A20" s="547" t="s">
        <v>61</v>
      </c>
      <c r="B20" s="791" t="s">
        <v>264</v>
      </c>
      <c r="C20" s="1181">
        <v>391898</v>
      </c>
      <c r="D20" s="1181"/>
      <c r="E20" s="1457">
        <v>388677</v>
      </c>
      <c r="F20" s="1181">
        <v>-10372</v>
      </c>
      <c r="G20" s="1181">
        <f>E20+F20</f>
        <v>378305</v>
      </c>
      <c r="H20" s="1181"/>
      <c r="I20" s="1181">
        <f t="shared" ref="I20:K41" si="5">G20+H20</f>
        <v>378305</v>
      </c>
      <c r="J20" s="1181"/>
      <c r="K20" s="1181">
        <f t="shared" si="5"/>
        <v>378305</v>
      </c>
      <c r="L20" s="1181">
        <v>378305</v>
      </c>
      <c r="M20" s="1182"/>
      <c r="N20" s="1183"/>
      <c r="O20" s="1039">
        <f t="shared" ref="O20:O85" si="6">L20+M20+N20</f>
        <v>378305</v>
      </c>
    </row>
    <row r="21" spans="1:15" s="364" customFormat="1" ht="60.75" customHeight="1" x14ac:dyDescent="0.2">
      <c r="A21" s="552" t="s">
        <v>62</v>
      </c>
      <c r="B21" s="792" t="s">
        <v>961</v>
      </c>
      <c r="C21" s="1184">
        <v>105812</v>
      </c>
      <c r="D21" s="1184"/>
      <c r="E21" s="1393">
        <f>C21+D21</f>
        <v>105812</v>
      </c>
      <c r="F21" s="1184"/>
      <c r="G21" s="1181">
        <f>E21+F21</f>
        <v>105812</v>
      </c>
      <c r="H21" s="1181"/>
      <c r="I21" s="1181">
        <f t="shared" si="5"/>
        <v>105812</v>
      </c>
      <c r="J21" s="1181"/>
      <c r="K21" s="1181">
        <f t="shared" si="5"/>
        <v>105812</v>
      </c>
      <c r="L21" s="1184">
        <v>105812</v>
      </c>
      <c r="M21" s="1185"/>
      <c r="N21" s="1186"/>
      <c r="O21" s="1039">
        <f t="shared" si="6"/>
        <v>105812</v>
      </c>
    </row>
    <row r="22" spans="1:15" s="364" customFormat="1" ht="26.1" customHeight="1" x14ac:dyDescent="0.2">
      <c r="A22" s="552" t="s">
        <v>63</v>
      </c>
      <c r="B22" s="792" t="s">
        <v>485</v>
      </c>
      <c r="C22" s="1184">
        <v>66000</v>
      </c>
      <c r="D22" s="1184"/>
      <c r="E22" s="1393">
        <f>C22+D22</f>
        <v>66000</v>
      </c>
      <c r="F22" s="1184">
        <v>900</v>
      </c>
      <c r="G22" s="1181">
        <f>E22+F22</f>
        <v>66900</v>
      </c>
      <c r="H22" s="1181"/>
      <c r="I22" s="1181">
        <f t="shared" si="5"/>
        <v>66900</v>
      </c>
      <c r="J22" s="1181"/>
      <c r="K22" s="1181">
        <f t="shared" si="5"/>
        <v>66900</v>
      </c>
      <c r="L22" s="1184">
        <v>66900</v>
      </c>
      <c r="M22" s="1185"/>
      <c r="N22" s="1186"/>
      <c r="O22" s="1039">
        <f t="shared" si="6"/>
        <v>66900</v>
      </c>
    </row>
    <row r="23" spans="1:15" s="364" customFormat="1" ht="33.950000000000003" customHeight="1" x14ac:dyDescent="0.2">
      <c r="A23" s="552" t="s">
        <v>64</v>
      </c>
      <c r="B23" s="792" t="s">
        <v>486</v>
      </c>
      <c r="C23" s="1184">
        <f t="shared" ref="C23:E23" si="7">C22*0.27</f>
        <v>17820</v>
      </c>
      <c r="D23" s="1184">
        <f t="shared" si="7"/>
        <v>0</v>
      </c>
      <c r="E23" s="1393">
        <f t="shared" si="7"/>
        <v>17820</v>
      </c>
      <c r="F23" s="1184">
        <v>0</v>
      </c>
      <c r="G23" s="1184">
        <v>17820</v>
      </c>
      <c r="H23" s="1184"/>
      <c r="I23" s="1184">
        <f t="shared" si="5"/>
        <v>17820</v>
      </c>
      <c r="J23" s="1184"/>
      <c r="K23" s="1181">
        <f t="shared" si="5"/>
        <v>17820</v>
      </c>
      <c r="L23" s="1184">
        <v>17820</v>
      </c>
      <c r="M23" s="1185"/>
      <c r="N23" s="1186"/>
      <c r="O23" s="1039">
        <f t="shared" si="6"/>
        <v>17820</v>
      </c>
    </row>
    <row r="24" spans="1:15" s="364" customFormat="1" ht="33.950000000000003" customHeight="1" x14ac:dyDescent="0.2">
      <c r="A24" s="552" t="s">
        <v>65</v>
      </c>
      <c r="B24" s="792" t="s">
        <v>123</v>
      </c>
      <c r="C24" s="1184">
        <v>25208</v>
      </c>
      <c r="D24" s="1184"/>
      <c r="E24" s="1393">
        <v>25058</v>
      </c>
      <c r="F24" s="1184"/>
      <c r="G24" s="1184">
        <f>E24+F24</f>
        <v>25058</v>
      </c>
      <c r="H24" s="1184"/>
      <c r="I24" s="1184">
        <f t="shared" si="5"/>
        <v>25058</v>
      </c>
      <c r="J24" s="1184"/>
      <c r="K24" s="1181">
        <f t="shared" si="5"/>
        <v>25058</v>
      </c>
      <c r="L24" s="1184">
        <v>0</v>
      </c>
      <c r="M24" s="1184">
        <v>25058</v>
      </c>
      <c r="N24" s="1186"/>
      <c r="O24" s="1039">
        <f t="shared" si="6"/>
        <v>25058</v>
      </c>
    </row>
    <row r="25" spans="1:15" s="364" customFormat="1" ht="22.5" customHeight="1" x14ac:dyDescent="0.2">
      <c r="A25" s="552" t="s">
        <v>66</v>
      </c>
      <c r="B25" s="792" t="s">
        <v>257</v>
      </c>
      <c r="C25" s="1184">
        <v>9000</v>
      </c>
      <c r="D25" s="1184"/>
      <c r="E25" s="1393">
        <f t="shared" ref="E25:E30" si="8">C25+D25</f>
        <v>9000</v>
      </c>
      <c r="F25" s="1184"/>
      <c r="G25" s="1184">
        <f t="shared" ref="G25:G30" si="9">E25+F25</f>
        <v>9000</v>
      </c>
      <c r="H25" s="1184"/>
      <c r="I25" s="1184">
        <f t="shared" si="5"/>
        <v>9000</v>
      </c>
      <c r="J25" s="1184"/>
      <c r="K25" s="1181">
        <f t="shared" si="5"/>
        <v>9000</v>
      </c>
      <c r="L25" s="1184">
        <v>9000</v>
      </c>
      <c r="M25" s="1185"/>
      <c r="N25" s="1186"/>
      <c r="O25" s="1039">
        <f t="shared" si="6"/>
        <v>9000</v>
      </c>
    </row>
    <row r="26" spans="1:15" s="364" customFormat="1" ht="22.5" customHeight="1" x14ac:dyDescent="0.2">
      <c r="A26" s="552" t="s">
        <v>67</v>
      </c>
      <c r="B26" s="792" t="s">
        <v>478</v>
      </c>
      <c r="C26" s="1184">
        <v>7000</v>
      </c>
      <c r="D26" s="1184"/>
      <c r="E26" s="1393">
        <v>11000</v>
      </c>
      <c r="F26" s="1184"/>
      <c r="G26" s="1184">
        <f t="shared" si="9"/>
        <v>11000</v>
      </c>
      <c r="H26" s="1184">
        <v>-685</v>
      </c>
      <c r="I26" s="1184">
        <f t="shared" si="5"/>
        <v>10315</v>
      </c>
      <c r="J26" s="1184"/>
      <c r="K26" s="1181">
        <f t="shared" si="5"/>
        <v>10315</v>
      </c>
      <c r="L26" s="1185"/>
      <c r="M26" s="1184">
        <v>10315</v>
      </c>
      <c r="N26" s="1186"/>
      <c r="O26" s="1039">
        <f t="shared" si="6"/>
        <v>10315</v>
      </c>
    </row>
    <row r="27" spans="1:15" s="364" customFormat="1" ht="22.5" customHeight="1" x14ac:dyDescent="0.2">
      <c r="A27" s="552" t="s">
        <v>68</v>
      </c>
      <c r="B27" s="793" t="s">
        <v>817</v>
      </c>
      <c r="C27" s="1187">
        <f>300000-60000+146366</f>
        <v>386366</v>
      </c>
      <c r="D27" s="1187">
        <v>95231</v>
      </c>
      <c r="E27" s="1393">
        <v>386366</v>
      </c>
      <c r="F27" s="1184"/>
      <c r="G27" s="1393">
        <f t="shared" si="9"/>
        <v>386366</v>
      </c>
      <c r="H27" s="1393"/>
      <c r="I27" s="1393">
        <f t="shared" si="5"/>
        <v>386366</v>
      </c>
      <c r="J27" s="1393"/>
      <c r="K27" s="1181">
        <f t="shared" si="5"/>
        <v>386366</v>
      </c>
      <c r="L27" s="1399">
        <v>386366</v>
      </c>
      <c r="M27" s="1185"/>
      <c r="N27" s="1186"/>
      <c r="O27" s="1039">
        <f t="shared" si="6"/>
        <v>386366</v>
      </c>
    </row>
    <row r="28" spans="1:15" s="364" customFormat="1" ht="22.5" customHeight="1" x14ac:dyDescent="0.2">
      <c r="A28" s="552" t="s">
        <v>69</v>
      </c>
      <c r="B28" s="793" t="s">
        <v>819</v>
      </c>
      <c r="C28" s="1187">
        <v>558000</v>
      </c>
      <c r="D28" s="1187"/>
      <c r="E28" s="1393">
        <v>653231</v>
      </c>
      <c r="F28" s="1184"/>
      <c r="G28" s="1393">
        <f t="shared" si="9"/>
        <v>653231</v>
      </c>
      <c r="H28" s="1393"/>
      <c r="I28" s="1393">
        <f t="shared" si="5"/>
        <v>653231</v>
      </c>
      <c r="J28" s="1393">
        <v>-60240</v>
      </c>
      <c r="K28" s="1181">
        <f t="shared" si="5"/>
        <v>592991</v>
      </c>
      <c r="L28" s="1399">
        <v>592991</v>
      </c>
      <c r="M28" s="1185"/>
      <c r="N28" s="1186"/>
      <c r="O28" s="1039">
        <f t="shared" si="6"/>
        <v>592991</v>
      </c>
    </row>
    <row r="29" spans="1:15" s="364" customFormat="1" ht="22.5" customHeight="1" x14ac:dyDescent="0.2">
      <c r="A29" s="552" t="s">
        <v>76</v>
      </c>
      <c r="B29" s="794" t="s">
        <v>818</v>
      </c>
      <c r="C29" s="1187">
        <v>160000</v>
      </c>
      <c r="D29" s="1187"/>
      <c r="E29" s="1393">
        <f t="shared" si="8"/>
        <v>160000</v>
      </c>
      <c r="F29" s="1184"/>
      <c r="G29" s="1393">
        <f t="shared" si="9"/>
        <v>160000</v>
      </c>
      <c r="H29" s="1393"/>
      <c r="I29" s="1393">
        <f t="shared" si="5"/>
        <v>160000</v>
      </c>
      <c r="J29" s="1393"/>
      <c r="K29" s="1181">
        <f t="shared" si="5"/>
        <v>160000</v>
      </c>
      <c r="L29" s="1399">
        <v>160000</v>
      </c>
      <c r="M29" s="1185"/>
      <c r="N29" s="1186"/>
      <c r="O29" s="1039">
        <f t="shared" si="6"/>
        <v>160000</v>
      </c>
    </row>
    <row r="30" spans="1:15" s="364" customFormat="1" ht="22.5" customHeight="1" x14ac:dyDescent="0.2">
      <c r="A30" s="552" t="s">
        <v>196</v>
      </c>
      <c r="B30" s="793" t="s">
        <v>261</v>
      </c>
      <c r="C30" s="1184">
        <v>0</v>
      </c>
      <c r="D30" s="1184"/>
      <c r="E30" s="1393">
        <f t="shared" si="8"/>
        <v>0</v>
      </c>
      <c r="F30" s="1184"/>
      <c r="G30" s="1393">
        <f t="shared" si="9"/>
        <v>0</v>
      </c>
      <c r="H30" s="1393">
        <v>189</v>
      </c>
      <c r="I30" s="1393">
        <f t="shared" si="5"/>
        <v>189</v>
      </c>
      <c r="J30" s="1393"/>
      <c r="K30" s="1181">
        <f t="shared" si="5"/>
        <v>189</v>
      </c>
      <c r="L30" s="1393">
        <v>189</v>
      </c>
      <c r="M30" s="1185"/>
      <c r="N30" s="1186"/>
      <c r="O30" s="1039">
        <f t="shared" si="6"/>
        <v>189</v>
      </c>
    </row>
    <row r="31" spans="1:15" s="364" customFormat="1" ht="22.5" customHeight="1" x14ac:dyDescent="0.2">
      <c r="A31" s="552" t="s">
        <v>908</v>
      </c>
      <c r="B31" s="793" t="s">
        <v>909</v>
      </c>
      <c r="C31" s="1184"/>
      <c r="D31" s="1184"/>
      <c r="E31" s="1393">
        <v>7900</v>
      </c>
      <c r="F31" s="1398"/>
      <c r="G31" s="1393">
        <f t="shared" ref="G31:G39" si="10">E31+F31</f>
        <v>7900</v>
      </c>
      <c r="H31" s="1393"/>
      <c r="I31" s="1393">
        <f t="shared" si="5"/>
        <v>7900</v>
      </c>
      <c r="J31" s="1393">
        <v>2003</v>
      </c>
      <c r="K31" s="1181">
        <f t="shared" si="5"/>
        <v>9903</v>
      </c>
      <c r="L31" s="1393">
        <v>9903</v>
      </c>
      <c r="M31" s="1185"/>
      <c r="N31" s="1186"/>
      <c r="O31" s="1039">
        <f t="shared" si="6"/>
        <v>9903</v>
      </c>
    </row>
    <row r="32" spans="1:15" s="364" customFormat="1" ht="22.5" customHeight="1" x14ac:dyDescent="0.2">
      <c r="A32" s="1367" t="s">
        <v>910</v>
      </c>
      <c r="B32" s="793" t="s">
        <v>911</v>
      </c>
      <c r="C32" s="1184"/>
      <c r="D32" s="1184"/>
      <c r="E32" s="1393">
        <v>4000</v>
      </c>
      <c r="F32" s="1398"/>
      <c r="G32" s="1393">
        <f t="shared" si="10"/>
        <v>4000</v>
      </c>
      <c r="H32" s="1393"/>
      <c r="I32" s="1393">
        <f t="shared" si="5"/>
        <v>4000</v>
      </c>
      <c r="J32" s="1393"/>
      <c r="K32" s="1181">
        <f t="shared" si="5"/>
        <v>4000</v>
      </c>
      <c r="L32" s="1393">
        <v>4000</v>
      </c>
      <c r="M32" s="1185"/>
      <c r="N32" s="1186"/>
      <c r="O32" s="1039">
        <f t="shared" si="6"/>
        <v>4000</v>
      </c>
    </row>
    <row r="33" spans="1:15" s="364" customFormat="1" ht="22.5" customHeight="1" x14ac:dyDescent="0.2">
      <c r="A33" s="552" t="s">
        <v>908</v>
      </c>
      <c r="B33" s="793" t="s">
        <v>917</v>
      </c>
      <c r="C33" s="1386"/>
      <c r="D33" s="1386"/>
      <c r="E33" s="1393">
        <v>760</v>
      </c>
      <c r="F33" s="1398">
        <v>3600</v>
      </c>
      <c r="G33" s="1394">
        <f t="shared" si="10"/>
        <v>4360</v>
      </c>
      <c r="H33" s="1394"/>
      <c r="I33" s="1394">
        <f t="shared" si="5"/>
        <v>4360</v>
      </c>
      <c r="J33" s="1394"/>
      <c r="K33" s="1181">
        <f t="shared" si="5"/>
        <v>4360</v>
      </c>
      <c r="L33" s="1394">
        <v>4360</v>
      </c>
      <c r="M33" s="1387"/>
      <c r="N33" s="1388"/>
      <c r="O33" s="1039"/>
    </row>
    <row r="34" spans="1:15" s="364" customFormat="1" ht="22.5" customHeight="1" x14ac:dyDescent="0.2">
      <c r="A34" s="1367" t="s">
        <v>910</v>
      </c>
      <c r="B34" s="793" t="s">
        <v>922</v>
      </c>
      <c r="C34" s="1184"/>
      <c r="D34" s="1184"/>
      <c r="E34" s="1393">
        <v>1539</v>
      </c>
      <c r="F34" s="1398"/>
      <c r="G34" s="1393">
        <f t="shared" si="10"/>
        <v>1539</v>
      </c>
      <c r="H34" s="1393"/>
      <c r="I34" s="1393">
        <f t="shared" si="5"/>
        <v>1539</v>
      </c>
      <c r="J34" s="1393"/>
      <c r="K34" s="1181">
        <f t="shared" si="5"/>
        <v>1539</v>
      </c>
      <c r="L34" s="1393"/>
      <c r="M34" s="1185">
        <v>1539</v>
      </c>
      <c r="N34" s="1186"/>
      <c r="O34" s="1039"/>
    </row>
    <row r="35" spans="1:15" s="364" customFormat="1" ht="22.5" customHeight="1" x14ac:dyDescent="0.2">
      <c r="A35" s="552" t="s">
        <v>921</v>
      </c>
      <c r="B35" s="792" t="s">
        <v>261</v>
      </c>
      <c r="C35" s="1386">
        <v>0</v>
      </c>
      <c r="D35" s="1386"/>
      <c r="E35" s="1393">
        <v>3200</v>
      </c>
      <c r="F35" s="1398"/>
      <c r="G35" s="1394">
        <f t="shared" si="10"/>
        <v>3200</v>
      </c>
      <c r="H35" s="1400"/>
      <c r="I35" s="1400">
        <f t="shared" si="5"/>
        <v>3200</v>
      </c>
      <c r="J35" s="1400"/>
      <c r="K35" s="1181">
        <f t="shared" si="5"/>
        <v>3200</v>
      </c>
      <c r="L35" s="1400">
        <v>3200</v>
      </c>
      <c r="M35" s="904">
        <v>0</v>
      </c>
      <c r="N35" s="1392"/>
      <c r="O35" s="1039">
        <f t="shared" ref="O35" si="11">F35+G35+L35</f>
        <v>6400</v>
      </c>
    </row>
    <row r="36" spans="1:15" s="364" customFormat="1" ht="22.5" customHeight="1" x14ac:dyDescent="0.2">
      <c r="A36" s="1367" t="s">
        <v>923</v>
      </c>
      <c r="B36" s="792" t="s">
        <v>924</v>
      </c>
      <c r="C36" s="1386"/>
      <c r="D36" s="1386"/>
      <c r="E36" s="1393">
        <v>3000</v>
      </c>
      <c r="F36" s="1398"/>
      <c r="G36" s="1394">
        <f t="shared" si="10"/>
        <v>3000</v>
      </c>
      <c r="H36" s="1400"/>
      <c r="I36" s="1400">
        <f t="shared" si="5"/>
        <v>3000</v>
      </c>
      <c r="J36" s="1400">
        <v>5260</v>
      </c>
      <c r="K36" s="1181">
        <f t="shared" si="5"/>
        <v>8260</v>
      </c>
      <c r="L36" s="1400">
        <v>8260</v>
      </c>
      <c r="M36" s="904"/>
      <c r="N36" s="1392"/>
      <c r="O36" s="1039"/>
    </row>
    <row r="37" spans="1:15" s="364" customFormat="1" ht="22.5" customHeight="1" x14ac:dyDescent="0.2">
      <c r="A37" s="552" t="s">
        <v>925</v>
      </c>
      <c r="B37" s="1395" t="s">
        <v>926</v>
      </c>
      <c r="C37" s="1386"/>
      <c r="D37" s="1386"/>
      <c r="E37" s="1393">
        <v>3500</v>
      </c>
      <c r="F37" s="1398"/>
      <c r="G37" s="1394">
        <f t="shared" si="10"/>
        <v>3500</v>
      </c>
      <c r="H37" s="1400"/>
      <c r="I37" s="1400">
        <f t="shared" si="5"/>
        <v>3500</v>
      </c>
      <c r="J37" s="1400">
        <v>-429</v>
      </c>
      <c r="K37" s="1181">
        <f t="shared" si="5"/>
        <v>3071</v>
      </c>
      <c r="L37" s="1400">
        <v>3071</v>
      </c>
      <c r="M37" s="904"/>
      <c r="N37" s="1392"/>
      <c r="O37" s="1039"/>
    </row>
    <row r="38" spans="1:15" s="364" customFormat="1" ht="22.5" customHeight="1" x14ac:dyDescent="0.2">
      <c r="A38" s="552" t="s">
        <v>927</v>
      </c>
      <c r="B38" s="793" t="s">
        <v>928</v>
      </c>
      <c r="C38" s="1386"/>
      <c r="D38" s="1386"/>
      <c r="E38" s="1393">
        <v>1000</v>
      </c>
      <c r="F38" s="1398"/>
      <c r="G38" s="1394">
        <f t="shared" si="10"/>
        <v>1000</v>
      </c>
      <c r="H38" s="1400"/>
      <c r="I38" s="1400">
        <f t="shared" si="5"/>
        <v>1000</v>
      </c>
      <c r="J38" s="1400">
        <v>-171</v>
      </c>
      <c r="K38" s="1181">
        <f t="shared" si="5"/>
        <v>829</v>
      </c>
      <c r="L38" s="1400">
        <v>829</v>
      </c>
      <c r="M38" s="904"/>
      <c r="N38" s="1392"/>
      <c r="O38" s="1039"/>
    </row>
    <row r="39" spans="1:15" s="364" customFormat="1" ht="22.5" customHeight="1" x14ac:dyDescent="0.2">
      <c r="A39" s="552" t="s">
        <v>930</v>
      </c>
      <c r="B39" s="793" t="s">
        <v>929</v>
      </c>
      <c r="C39" s="1386"/>
      <c r="D39" s="1386"/>
      <c r="E39" s="1393">
        <v>2912</v>
      </c>
      <c r="F39" s="1398">
        <v>15000</v>
      </c>
      <c r="G39" s="1394">
        <f t="shared" si="10"/>
        <v>17912</v>
      </c>
      <c r="H39" s="1394"/>
      <c r="I39" s="1394">
        <f t="shared" si="5"/>
        <v>17912</v>
      </c>
      <c r="J39" s="1394"/>
      <c r="K39" s="1181">
        <f t="shared" si="5"/>
        <v>17912</v>
      </c>
      <c r="L39" s="904"/>
      <c r="M39" s="1394">
        <v>17912</v>
      </c>
      <c r="N39" s="1392"/>
      <c r="O39" s="1039"/>
    </row>
    <row r="40" spans="1:15" s="364" customFormat="1" ht="22.5" customHeight="1" x14ac:dyDescent="0.2">
      <c r="A40" s="552" t="s">
        <v>941</v>
      </c>
      <c r="B40" s="793" t="s">
        <v>942</v>
      </c>
      <c r="C40" s="1386"/>
      <c r="D40" s="1386"/>
      <c r="E40" s="1386"/>
      <c r="F40" s="1398">
        <v>675</v>
      </c>
      <c r="G40" s="1394">
        <v>675</v>
      </c>
      <c r="H40" s="1394"/>
      <c r="I40" s="1394">
        <f t="shared" si="5"/>
        <v>675</v>
      </c>
      <c r="J40" s="1394"/>
      <c r="K40" s="1181">
        <f t="shared" si="5"/>
        <v>675</v>
      </c>
      <c r="L40" s="904"/>
      <c r="M40" s="1394">
        <v>675</v>
      </c>
      <c r="N40" s="1392"/>
      <c r="O40" s="1039"/>
    </row>
    <row r="41" spans="1:15" s="364" customFormat="1" ht="22.5" customHeight="1" x14ac:dyDescent="0.2">
      <c r="A41" s="552" t="s">
        <v>943</v>
      </c>
      <c r="B41" s="793" t="s">
        <v>944</v>
      </c>
      <c r="C41" s="1386"/>
      <c r="D41" s="1386"/>
      <c r="E41" s="1386"/>
      <c r="F41" s="1398">
        <v>1620</v>
      </c>
      <c r="G41" s="1394">
        <v>1620</v>
      </c>
      <c r="H41" s="1394"/>
      <c r="I41" s="1394">
        <f t="shared" si="5"/>
        <v>1620</v>
      </c>
      <c r="J41" s="1394"/>
      <c r="K41" s="1181">
        <f t="shared" si="5"/>
        <v>1620</v>
      </c>
      <c r="L41" s="904"/>
      <c r="M41" s="1394">
        <v>1620</v>
      </c>
      <c r="N41" s="1392"/>
      <c r="O41" s="1039"/>
    </row>
    <row r="42" spans="1:15" s="111" customFormat="1" ht="26.25" customHeight="1" x14ac:dyDescent="0.2">
      <c r="A42" s="1409"/>
      <c r="B42" s="638" t="s">
        <v>462</v>
      </c>
      <c r="C42" s="1373">
        <f>SUM(C20:C30)</f>
        <v>1727104</v>
      </c>
      <c r="D42" s="1373">
        <f>SUM(D20:D30)</f>
        <v>95231</v>
      </c>
      <c r="E42" s="1373">
        <f>SUM(E20:E39)</f>
        <v>1850775</v>
      </c>
      <c r="F42" s="1373">
        <f>SUM(F20:F41)</f>
        <v>11423</v>
      </c>
      <c r="G42" s="1373">
        <f>SUM(G20:G41)</f>
        <v>1862198</v>
      </c>
      <c r="H42" s="1373">
        <f>SUM(H22:H41)</f>
        <v>-496</v>
      </c>
      <c r="I42" s="1373">
        <f>SUM(I20:I41)</f>
        <v>1861702</v>
      </c>
      <c r="J42" s="1373">
        <f>SUM(J20:J41)</f>
        <v>-53577</v>
      </c>
      <c r="K42" s="1373">
        <f>SUM(K20:K41)</f>
        <v>1808125</v>
      </c>
      <c r="L42" s="1373">
        <f>SUM(L20:L41)</f>
        <v>1751006</v>
      </c>
      <c r="M42" s="1373">
        <f>SUM(M20:M41)</f>
        <v>57119</v>
      </c>
      <c r="N42" s="1411">
        <f>SUM(N20:N30)</f>
        <v>0</v>
      </c>
      <c r="O42" s="1039">
        <f t="shared" si="6"/>
        <v>1808125</v>
      </c>
    </row>
    <row r="43" spans="1:15" s="364" customFormat="1" ht="28.35" customHeight="1" x14ac:dyDescent="0.2">
      <c r="A43" s="1396"/>
      <c r="B43" s="1369" t="s">
        <v>367</v>
      </c>
      <c r="C43" s="1370"/>
      <c r="D43" s="1370"/>
      <c r="E43" s="1370"/>
      <c r="F43" s="1370"/>
      <c r="G43" s="1370"/>
      <c r="H43" s="1370"/>
      <c r="I43" s="1370"/>
      <c r="J43" s="1370"/>
      <c r="K43" s="1370"/>
      <c r="L43" s="1371"/>
      <c r="M43" s="1370"/>
      <c r="N43" s="1372"/>
      <c r="O43" s="1039"/>
    </row>
    <row r="44" spans="1:15" s="364" customFormat="1" ht="37.5" customHeight="1" x14ac:dyDescent="0.2">
      <c r="A44" s="552" t="s">
        <v>61</v>
      </c>
      <c r="B44" s="793" t="s">
        <v>962</v>
      </c>
      <c r="C44" s="1188">
        <v>4000</v>
      </c>
      <c r="D44" s="1188">
        <v>2884</v>
      </c>
      <c r="E44" s="1188">
        <v>5884</v>
      </c>
      <c r="F44" s="1188">
        <v>-1000</v>
      </c>
      <c r="G44" s="1188">
        <f>E44+F44</f>
        <v>4884</v>
      </c>
      <c r="H44" s="1188">
        <v>-1000</v>
      </c>
      <c r="I44" s="1188">
        <f>G44+H44</f>
        <v>3884</v>
      </c>
      <c r="J44" s="1188">
        <v>1540</v>
      </c>
      <c r="K44" s="1188">
        <f t="shared" ref="K44:K52" si="12">I44+J44</f>
        <v>5424</v>
      </c>
      <c r="L44" s="1185">
        <v>3424</v>
      </c>
      <c r="M44" s="1188">
        <v>2000</v>
      </c>
      <c r="N44" s="1186"/>
      <c r="O44" s="1039">
        <f t="shared" si="6"/>
        <v>5424</v>
      </c>
    </row>
    <row r="45" spans="1:15" s="364" customFormat="1" ht="33.950000000000003" customHeight="1" x14ac:dyDescent="0.2">
      <c r="A45" s="552" t="s">
        <v>62</v>
      </c>
      <c r="B45" s="793" t="s">
        <v>363</v>
      </c>
      <c r="C45" s="1188">
        <v>2000</v>
      </c>
      <c r="D45" s="1188">
        <v>2295</v>
      </c>
      <c r="E45" s="1188">
        <f>C45+D45</f>
        <v>4295</v>
      </c>
      <c r="F45" s="1188"/>
      <c r="G45" s="1188">
        <f>E45+F45</f>
        <v>4295</v>
      </c>
      <c r="H45" s="1188"/>
      <c r="I45" s="1188">
        <f>G45+H45</f>
        <v>4295</v>
      </c>
      <c r="J45" s="1188">
        <f>-370-1590</f>
        <v>-1960</v>
      </c>
      <c r="K45" s="1188">
        <f t="shared" si="12"/>
        <v>2335</v>
      </c>
      <c r="L45" s="1185">
        <v>335</v>
      </c>
      <c r="M45" s="1188">
        <v>2000</v>
      </c>
      <c r="N45" s="1186"/>
      <c r="O45" s="1039">
        <f t="shared" si="6"/>
        <v>2335</v>
      </c>
    </row>
    <row r="46" spans="1:15" s="364" customFormat="1" ht="22.5" customHeight="1" x14ac:dyDescent="0.2">
      <c r="A46" s="552" t="s">
        <v>63</v>
      </c>
      <c r="B46" s="793" t="s">
        <v>846</v>
      </c>
      <c r="C46" s="1188"/>
      <c r="D46" s="1188">
        <v>1000</v>
      </c>
      <c r="E46" s="1188">
        <f>D46</f>
        <v>1000</v>
      </c>
      <c r="F46" s="1188">
        <v>1000</v>
      </c>
      <c r="G46" s="1188">
        <f>E46+F46</f>
        <v>2000</v>
      </c>
      <c r="H46" s="1188"/>
      <c r="I46" s="1188">
        <f>G46+H46</f>
        <v>2000</v>
      </c>
      <c r="J46" s="1188"/>
      <c r="K46" s="1188">
        <f t="shared" si="12"/>
        <v>2000</v>
      </c>
      <c r="L46" s="1185">
        <v>2000</v>
      </c>
      <c r="M46" s="1188"/>
      <c r="N46" s="1186"/>
      <c r="O46" s="1039"/>
    </row>
    <row r="47" spans="1:15" s="364" customFormat="1" ht="22.5" customHeight="1" x14ac:dyDescent="0.2">
      <c r="A47" s="552" t="s">
        <v>64</v>
      </c>
      <c r="B47" s="793" t="s">
        <v>893</v>
      </c>
      <c r="C47" s="1188"/>
      <c r="D47" s="1188"/>
      <c r="E47" s="1188">
        <v>1000</v>
      </c>
      <c r="F47" s="1188"/>
      <c r="G47" s="1188">
        <v>1000</v>
      </c>
      <c r="H47" s="1188"/>
      <c r="I47" s="1188">
        <f>G47+H47</f>
        <v>1000</v>
      </c>
      <c r="J47" s="1188">
        <v>50</v>
      </c>
      <c r="K47" s="1188">
        <f t="shared" si="12"/>
        <v>1050</v>
      </c>
      <c r="L47" s="1185">
        <v>1050</v>
      </c>
      <c r="M47" s="1188"/>
      <c r="N47" s="1186"/>
      <c r="O47" s="1039"/>
    </row>
    <row r="48" spans="1:15" s="364" customFormat="1" ht="22.5" customHeight="1" x14ac:dyDescent="0.2">
      <c r="A48" s="552" t="s">
        <v>65</v>
      </c>
      <c r="B48" s="793" t="s">
        <v>949</v>
      </c>
      <c r="C48" s="1188"/>
      <c r="D48" s="1188"/>
      <c r="E48" s="1188"/>
      <c r="F48" s="1188"/>
      <c r="G48" s="1188"/>
      <c r="H48" s="1188">
        <v>800</v>
      </c>
      <c r="I48" s="1188">
        <v>800</v>
      </c>
      <c r="J48" s="1188">
        <v>370</v>
      </c>
      <c r="K48" s="1188">
        <f t="shared" si="12"/>
        <v>1170</v>
      </c>
      <c r="L48" s="1185">
        <v>1170</v>
      </c>
      <c r="M48" s="1188"/>
      <c r="N48" s="1186"/>
      <c r="O48" s="1039"/>
    </row>
    <row r="49" spans="1:15" s="364" customFormat="1" ht="22.5" customHeight="1" x14ac:dyDescent="0.2">
      <c r="A49" s="552" t="s">
        <v>66</v>
      </c>
      <c r="B49" s="793" t="s">
        <v>950</v>
      </c>
      <c r="C49" s="1188"/>
      <c r="D49" s="1188"/>
      <c r="E49" s="1188"/>
      <c r="F49" s="1188"/>
      <c r="G49" s="1188"/>
      <c r="H49" s="1188">
        <v>200</v>
      </c>
      <c r="I49" s="1188">
        <v>200</v>
      </c>
      <c r="J49" s="1188"/>
      <c r="K49" s="1188">
        <f t="shared" si="12"/>
        <v>200</v>
      </c>
      <c r="L49" s="1185">
        <v>200</v>
      </c>
      <c r="M49" s="1188"/>
      <c r="N49" s="1186"/>
      <c r="O49" s="1039"/>
    </row>
    <row r="50" spans="1:15" s="364" customFormat="1" ht="22.5" customHeight="1" x14ac:dyDescent="0.2">
      <c r="A50" s="552" t="s">
        <v>67</v>
      </c>
      <c r="B50" s="793" t="s">
        <v>951</v>
      </c>
      <c r="C50" s="1188"/>
      <c r="D50" s="1188"/>
      <c r="E50" s="1188"/>
      <c r="F50" s="1188"/>
      <c r="G50" s="1188"/>
      <c r="H50" s="1188">
        <v>2400</v>
      </c>
      <c r="I50" s="1188">
        <v>2400</v>
      </c>
      <c r="J50" s="1188"/>
      <c r="K50" s="1188">
        <f t="shared" si="12"/>
        <v>2400</v>
      </c>
      <c r="L50" s="1185">
        <v>2400</v>
      </c>
      <c r="M50" s="1188"/>
      <c r="N50" s="1186"/>
      <c r="O50" s="1039"/>
    </row>
    <row r="51" spans="1:15" s="364" customFormat="1" ht="22.5" customHeight="1" x14ac:dyDescent="0.2">
      <c r="A51" s="552" t="s">
        <v>68</v>
      </c>
      <c r="B51" s="793" t="s">
        <v>952</v>
      </c>
      <c r="C51" s="1188"/>
      <c r="D51" s="1188"/>
      <c r="E51" s="1188"/>
      <c r="F51" s="1188"/>
      <c r="G51" s="1188"/>
      <c r="H51" s="1188">
        <v>700</v>
      </c>
      <c r="I51" s="1188">
        <v>700</v>
      </c>
      <c r="J51" s="1188"/>
      <c r="K51" s="1188">
        <f t="shared" si="12"/>
        <v>700</v>
      </c>
      <c r="L51" s="1185">
        <v>700</v>
      </c>
      <c r="M51" s="1188"/>
      <c r="N51" s="1186"/>
      <c r="O51" s="1039"/>
    </row>
    <row r="52" spans="1:15" s="364" customFormat="1" ht="22.5" customHeight="1" x14ac:dyDescent="0.2">
      <c r="A52" s="552" t="s">
        <v>69</v>
      </c>
      <c r="B52" s="793" t="s">
        <v>954</v>
      </c>
      <c r="C52" s="1188"/>
      <c r="D52" s="1188"/>
      <c r="E52" s="1188"/>
      <c r="F52" s="1188"/>
      <c r="G52" s="1188"/>
      <c r="H52" s="1188">
        <v>10160</v>
      </c>
      <c r="I52" s="1188">
        <v>10160</v>
      </c>
      <c r="J52" s="1188"/>
      <c r="K52" s="1188">
        <f t="shared" si="12"/>
        <v>10160</v>
      </c>
      <c r="L52" s="1185"/>
      <c r="M52" s="1188">
        <v>10160</v>
      </c>
      <c r="N52" s="1186"/>
      <c r="O52" s="1039"/>
    </row>
    <row r="53" spans="1:15" s="111" customFormat="1" ht="22.5" customHeight="1" x14ac:dyDescent="0.2">
      <c r="A53" s="1409"/>
      <c r="B53" s="638" t="s">
        <v>462</v>
      </c>
      <c r="C53" s="1189">
        <f t="shared" ref="C53:D53" si="13">SUM(C44:C46)</f>
        <v>6000</v>
      </c>
      <c r="D53" s="1189">
        <f t="shared" si="13"/>
        <v>6179</v>
      </c>
      <c r="E53" s="1189">
        <f>SUM(E44:E47)</f>
        <v>12179</v>
      </c>
      <c r="F53" s="1189">
        <f>SUM(F44:F47)</f>
        <v>0</v>
      </c>
      <c r="G53" s="1189">
        <f>SUM(G44:G47)</f>
        <v>12179</v>
      </c>
      <c r="H53" s="1189">
        <f>SUM(H44:H52)</f>
        <v>13260</v>
      </c>
      <c r="I53" s="1189">
        <f>SUM(I44:I52)</f>
        <v>25439</v>
      </c>
      <c r="J53" s="1189">
        <f>SUM(J44:J52)</f>
        <v>0</v>
      </c>
      <c r="K53" s="1189">
        <f>SUM(K44:K52)</f>
        <v>25439</v>
      </c>
      <c r="L53" s="1189">
        <f>SUM(L44:L51)</f>
        <v>11279</v>
      </c>
      <c r="M53" s="1189">
        <f>SUM(M44:M52)</f>
        <v>14160</v>
      </c>
      <c r="N53" s="1412">
        <f>SUM(N44:N45)</f>
        <v>0</v>
      </c>
      <c r="O53" s="1039">
        <f>L53+M53+N53</f>
        <v>25439</v>
      </c>
    </row>
    <row r="54" spans="1:15" s="364" customFormat="1" ht="29.25" customHeight="1" thickBot="1" x14ac:dyDescent="0.25">
      <c r="A54" s="1172"/>
      <c r="B54" s="1129" t="s">
        <v>365</v>
      </c>
      <c r="C54" s="1190">
        <f>C5+C42+C53</f>
        <v>1733104</v>
      </c>
      <c r="D54" s="1190">
        <f t="shared" ref="D54:M54" si="14">D42+D53+D18</f>
        <v>133383</v>
      </c>
      <c r="E54" s="1190">
        <f t="shared" si="14"/>
        <v>1895163</v>
      </c>
      <c r="F54" s="1190">
        <f t="shared" si="14"/>
        <v>12349</v>
      </c>
      <c r="G54" s="1190">
        <f t="shared" si="14"/>
        <v>1907512</v>
      </c>
      <c r="H54" s="1190">
        <f>H18+H42+H53</f>
        <v>14370</v>
      </c>
      <c r="I54" s="1190">
        <f>I18+I42+I53</f>
        <v>1921882</v>
      </c>
      <c r="J54" s="1190">
        <f>J18+J42+J53</f>
        <v>-57365</v>
      </c>
      <c r="K54" s="1190">
        <f>K18+K42+K53</f>
        <v>1864517</v>
      </c>
      <c r="L54" s="1190">
        <f t="shared" si="14"/>
        <v>1784158</v>
      </c>
      <c r="M54" s="1190">
        <f t="shared" si="14"/>
        <v>80359</v>
      </c>
      <c r="N54" s="1191">
        <f>N5+N42+N53</f>
        <v>0</v>
      </c>
      <c r="O54" s="1039">
        <f t="shared" si="6"/>
        <v>1864517</v>
      </c>
    </row>
    <row r="55" spans="1:15" s="592" customFormat="1" ht="42.75" customHeight="1" thickBot="1" x14ac:dyDescent="0.25">
      <c r="C55" s="593"/>
      <c r="D55" s="593"/>
      <c r="E55" s="593"/>
      <c r="F55" s="593"/>
      <c r="G55" s="593"/>
      <c r="H55" s="593"/>
      <c r="I55" s="593"/>
      <c r="J55" s="593"/>
      <c r="K55" s="593"/>
      <c r="O55" s="790"/>
    </row>
    <row r="56" spans="1:15" s="364" customFormat="1" ht="43.5" customHeight="1" thickBot="1" x14ac:dyDescent="0.25">
      <c r="A56" s="1719" t="s">
        <v>459</v>
      </c>
      <c r="B56" s="1721"/>
      <c r="C56" s="802" t="s">
        <v>143</v>
      </c>
      <c r="D56" s="536" t="s">
        <v>834</v>
      </c>
      <c r="E56" s="801" t="s">
        <v>835</v>
      </c>
      <c r="F56" s="801"/>
      <c r="G56" s="801"/>
      <c r="H56" s="801"/>
      <c r="I56" s="801"/>
      <c r="J56" s="801"/>
      <c r="K56" s="801"/>
      <c r="L56" s="537" t="s">
        <v>325</v>
      </c>
      <c r="M56" s="537" t="s">
        <v>326</v>
      </c>
      <c r="N56" s="538" t="s">
        <v>308</v>
      </c>
      <c r="O56" s="790"/>
    </row>
    <row r="57" spans="1:15" s="364" customFormat="1" ht="28.15" customHeight="1" thickBot="1" x14ac:dyDescent="0.25">
      <c r="A57" s="796"/>
      <c r="B57" s="1040" t="s">
        <v>567</v>
      </c>
      <c r="C57" s="1041">
        <v>0</v>
      </c>
      <c r="D57" s="1041"/>
      <c r="E57" s="1041"/>
      <c r="F57" s="1041"/>
      <c r="G57" s="1041"/>
      <c r="H57" s="1041"/>
      <c r="I57" s="1041"/>
      <c r="J57" s="1041"/>
      <c r="K57" s="1041"/>
      <c r="L57" s="1041">
        <v>0</v>
      </c>
      <c r="M57" s="1041">
        <v>0</v>
      </c>
      <c r="N57" s="1042">
        <v>0</v>
      </c>
      <c r="O57" s="1039">
        <f t="shared" si="6"/>
        <v>0</v>
      </c>
    </row>
    <row r="58" spans="1:15" s="111" customFormat="1" ht="33" customHeight="1" x14ac:dyDescent="0.2">
      <c r="A58" s="1170" t="s">
        <v>61</v>
      </c>
      <c r="B58" s="1127" t="s">
        <v>857</v>
      </c>
      <c r="C58" s="1173"/>
      <c r="D58" s="1174">
        <f>'7'!D11</f>
        <v>1000</v>
      </c>
      <c r="E58" s="1174">
        <f>C58+D58</f>
        <v>1000</v>
      </c>
      <c r="F58" s="1174">
        <f>'7'!F11</f>
        <v>0</v>
      </c>
      <c r="G58" s="1174">
        <f>'7'!G11</f>
        <v>1000</v>
      </c>
      <c r="H58" s="1174">
        <f>'7'!J11</f>
        <v>0</v>
      </c>
      <c r="I58" s="1174">
        <f>'7'!K11</f>
        <v>1000</v>
      </c>
      <c r="J58" s="1174">
        <f>'7'!L11</f>
        <v>-200</v>
      </c>
      <c r="K58" s="1174">
        <f>'7'!M11</f>
        <v>800</v>
      </c>
      <c r="L58" s="1174">
        <v>800</v>
      </c>
      <c r="M58" s="1175">
        <f>SUM(M57)</f>
        <v>0</v>
      </c>
      <c r="N58" s="1176">
        <f>SUM(N57)</f>
        <v>0</v>
      </c>
      <c r="O58" s="1039">
        <f>L58+M58+N58</f>
        <v>800</v>
      </c>
    </row>
    <row r="59" spans="1:15" s="111" customFormat="1" ht="33" customHeight="1" x14ac:dyDescent="0.2">
      <c r="A59" s="1170" t="s">
        <v>62</v>
      </c>
      <c r="B59" s="793" t="s">
        <v>865</v>
      </c>
      <c r="C59" s="1173"/>
      <c r="D59" s="1174">
        <f>'7'!D24</f>
        <v>8460</v>
      </c>
      <c r="E59" s="1174">
        <f t="shared" ref="E59:E63" si="15">C59+D59</f>
        <v>8460</v>
      </c>
      <c r="F59" s="1174">
        <f>'7'!F24</f>
        <v>0</v>
      </c>
      <c r="G59" s="1174">
        <f>'7'!G24</f>
        <v>8460</v>
      </c>
      <c r="H59" s="1174">
        <f>'7'!J24</f>
        <v>0</v>
      </c>
      <c r="I59" s="1174">
        <f>'7'!K24</f>
        <v>8460</v>
      </c>
      <c r="J59" s="1174">
        <f>'7'!L24</f>
        <v>0</v>
      </c>
      <c r="K59" s="1174">
        <f>'7'!M24</f>
        <v>8460</v>
      </c>
      <c r="L59" s="1174">
        <v>8460</v>
      </c>
      <c r="M59" s="1175"/>
      <c r="N59" s="1176"/>
      <c r="O59" s="1039"/>
    </row>
    <row r="60" spans="1:15" s="111" customFormat="1" ht="33" customHeight="1" x14ac:dyDescent="0.2">
      <c r="A60" s="1170" t="s">
        <v>63</v>
      </c>
      <c r="B60" s="1133" t="s">
        <v>869</v>
      </c>
      <c r="C60" s="1173"/>
      <c r="D60" s="1174">
        <f>'7'!D37</f>
        <v>2246</v>
      </c>
      <c r="E60" s="1174">
        <f t="shared" si="15"/>
        <v>2246</v>
      </c>
      <c r="F60" s="1174">
        <f>'7'!F37</f>
        <v>0</v>
      </c>
      <c r="G60" s="1174">
        <f>E60+F60</f>
        <v>2246</v>
      </c>
      <c r="H60" s="1174"/>
      <c r="I60" s="1174">
        <f>G60+H60</f>
        <v>2246</v>
      </c>
      <c r="J60" s="1174"/>
      <c r="K60" s="1174">
        <f>I60+J60</f>
        <v>2246</v>
      </c>
      <c r="L60" s="1174">
        <v>2246</v>
      </c>
      <c r="M60" s="1175"/>
      <c r="N60" s="1176"/>
      <c r="O60" s="1039"/>
    </row>
    <row r="61" spans="1:15" s="111" customFormat="1" ht="33" customHeight="1" x14ac:dyDescent="0.2">
      <c r="A61" s="1170" t="s">
        <v>64</v>
      </c>
      <c r="B61" s="1133" t="s">
        <v>870</v>
      </c>
      <c r="C61" s="1173"/>
      <c r="D61" s="1174">
        <f>'7'!D50</f>
        <v>900</v>
      </c>
      <c r="E61" s="1174">
        <f t="shared" si="15"/>
        <v>900</v>
      </c>
      <c r="F61" s="1174">
        <f>'7'!F50</f>
        <v>0</v>
      </c>
      <c r="G61" s="1174">
        <f>E61+F61</f>
        <v>900</v>
      </c>
      <c r="H61" s="1174"/>
      <c r="I61" s="1174">
        <f>G61+H61</f>
        <v>900</v>
      </c>
      <c r="J61" s="1174"/>
      <c r="K61" s="1174">
        <f>I61+J61</f>
        <v>900</v>
      </c>
      <c r="L61" s="1174">
        <v>900</v>
      </c>
      <c r="M61" s="1175"/>
      <c r="N61" s="1176"/>
      <c r="O61" s="1039"/>
    </row>
    <row r="62" spans="1:15" s="111" customFormat="1" ht="33" customHeight="1" x14ac:dyDescent="0.2">
      <c r="A62" s="1170" t="s">
        <v>65</v>
      </c>
      <c r="B62" s="1133" t="s">
        <v>871</v>
      </c>
      <c r="C62" s="1173"/>
      <c r="D62" s="1174">
        <f>'7'!D63</f>
        <v>643</v>
      </c>
      <c r="E62" s="1174">
        <f t="shared" si="15"/>
        <v>643</v>
      </c>
      <c r="F62" s="1174">
        <f>'7'!F63</f>
        <v>0</v>
      </c>
      <c r="G62" s="1174">
        <f>E62+F62</f>
        <v>643</v>
      </c>
      <c r="H62" s="1174"/>
      <c r="I62" s="1174">
        <f>G62+H62</f>
        <v>643</v>
      </c>
      <c r="J62" s="1174"/>
      <c r="K62" s="1174">
        <f>I62+J62</f>
        <v>643</v>
      </c>
      <c r="L62" s="1174">
        <v>643</v>
      </c>
      <c r="M62" s="1175"/>
      <c r="N62" s="1176"/>
      <c r="O62" s="1039"/>
    </row>
    <row r="63" spans="1:15" s="111" customFormat="1" ht="33" customHeight="1" x14ac:dyDescent="0.2">
      <c r="A63" s="1170" t="s">
        <v>66</v>
      </c>
      <c r="B63" s="1133" t="s">
        <v>872</v>
      </c>
      <c r="C63" s="1173"/>
      <c r="D63" s="1174">
        <f>'7'!D76</f>
        <v>400</v>
      </c>
      <c r="E63" s="1174">
        <f t="shared" si="15"/>
        <v>400</v>
      </c>
      <c r="F63" s="1174">
        <f>'7'!F76</f>
        <v>0</v>
      </c>
      <c r="G63" s="1174">
        <f>E63+F63</f>
        <v>400</v>
      </c>
      <c r="H63" s="1174"/>
      <c r="I63" s="1174">
        <f>G63+H63</f>
        <v>400</v>
      </c>
      <c r="J63" s="1174"/>
      <c r="K63" s="1174">
        <f>I63+J63</f>
        <v>400</v>
      </c>
      <c r="L63" s="1174">
        <v>400</v>
      </c>
      <c r="M63" s="1175"/>
      <c r="N63" s="1176"/>
      <c r="O63" s="1039"/>
    </row>
    <row r="64" spans="1:15" s="111" customFormat="1" ht="33" customHeight="1" x14ac:dyDescent="0.2">
      <c r="A64" s="1170" t="s">
        <v>67</v>
      </c>
      <c r="B64" s="1132" t="s">
        <v>455</v>
      </c>
      <c r="C64" s="1173"/>
      <c r="D64" s="1174">
        <f>SUM(D65:D70)</f>
        <v>12425</v>
      </c>
      <c r="E64" s="1174">
        <v>12209</v>
      </c>
      <c r="F64" s="1174">
        <f t="shared" ref="F64:K64" si="16">SUM(F65:F70)</f>
        <v>-126</v>
      </c>
      <c r="G64" s="1174">
        <f t="shared" si="16"/>
        <v>12083</v>
      </c>
      <c r="H64" s="1174">
        <f t="shared" si="16"/>
        <v>0</v>
      </c>
      <c r="I64" s="1174">
        <f t="shared" si="16"/>
        <v>12083</v>
      </c>
      <c r="J64" s="1174">
        <f t="shared" si="16"/>
        <v>0</v>
      </c>
      <c r="K64" s="1174">
        <f t="shared" si="16"/>
        <v>12083</v>
      </c>
      <c r="L64" s="1174">
        <f>L65+L66+L67+L68+L69+L70</f>
        <v>8000</v>
      </c>
      <c r="M64" s="1174">
        <f>SUM(M65:M70)</f>
        <v>4083</v>
      </c>
      <c r="N64" s="1176"/>
      <c r="O64" s="1039"/>
    </row>
    <row r="65" spans="1:15" s="1295" customFormat="1" ht="33" customHeight="1" x14ac:dyDescent="0.2">
      <c r="A65" s="1288"/>
      <c r="B65" s="1289" t="s">
        <v>867</v>
      </c>
      <c r="C65" s="1290"/>
      <c r="D65" s="1291">
        <f>'7'!D102</f>
        <v>0</v>
      </c>
      <c r="E65" s="1291">
        <f t="shared" ref="E65:E70" si="17">C65+D65</f>
        <v>0</v>
      </c>
      <c r="F65" s="1291"/>
      <c r="G65" s="1291">
        <f t="shared" ref="G65:G70" si="18">E65+F65</f>
        <v>0</v>
      </c>
      <c r="H65" s="1291"/>
      <c r="I65" s="1291">
        <f t="shared" ref="I65:K70" si="19">G65+H65</f>
        <v>0</v>
      </c>
      <c r="J65" s="1291"/>
      <c r="K65" s="1291">
        <f t="shared" si="19"/>
        <v>0</v>
      </c>
      <c r="L65" s="1291"/>
      <c r="M65" s="1292"/>
      <c r="N65" s="1293"/>
      <c r="O65" s="1294"/>
    </row>
    <row r="66" spans="1:15" s="1295" customFormat="1" ht="33" customHeight="1" x14ac:dyDescent="0.2">
      <c r="A66" s="1288"/>
      <c r="B66" s="1289" t="s">
        <v>4</v>
      </c>
      <c r="C66" s="1290"/>
      <c r="D66" s="1291">
        <f>'7'!D115</f>
        <v>0</v>
      </c>
      <c r="E66" s="1291">
        <f t="shared" si="17"/>
        <v>0</v>
      </c>
      <c r="F66" s="1291"/>
      <c r="G66" s="1291">
        <f t="shared" si="18"/>
        <v>0</v>
      </c>
      <c r="H66" s="1291"/>
      <c r="I66" s="1291">
        <f t="shared" si="19"/>
        <v>0</v>
      </c>
      <c r="J66" s="1291"/>
      <c r="K66" s="1291">
        <f t="shared" si="19"/>
        <v>0</v>
      </c>
      <c r="L66" s="1291"/>
      <c r="M66" s="1292"/>
      <c r="N66" s="1293"/>
      <c r="O66" s="1294"/>
    </row>
    <row r="67" spans="1:15" s="1295" customFormat="1" ht="33" customHeight="1" x14ac:dyDescent="0.2">
      <c r="A67" s="1296"/>
      <c r="B67" s="1297" t="s">
        <v>5</v>
      </c>
      <c r="C67" s="1292"/>
      <c r="D67" s="1291">
        <f>'7'!D128</f>
        <v>0</v>
      </c>
      <c r="E67" s="1291">
        <f t="shared" si="17"/>
        <v>0</v>
      </c>
      <c r="F67" s="1291"/>
      <c r="G67" s="1291">
        <f t="shared" si="18"/>
        <v>0</v>
      </c>
      <c r="H67" s="1291"/>
      <c r="I67" s="1291">
        <f t="shared" si="19"/>
        <v>0</v>
      </c>
      <c r="J67" s="1291"/>
      <c r="K67" s="1291">
        <f t="shared" si="19"/>
        <v>0</v>
      </c>
      <c r="L67" s="1292"/>
      <c r="M67" s="1291">
        <f>E67+L67</f>
        <v>0</v>
      </c>
      <c r="N67" s="1298"/>
      <c r="O67" s="1294"/>
    </row>
    <row r="68" spans="1:15" s="1295" customFormat="1" ht="33" customHeight="1" x14ac:dyDescent="0.2">
      <c r="A68" s="1296"/>
      <c r="B68" s="1297" t="s">
        <v>868</v>
      </c>
      <c r="C68" s="1292"/>
      <c r="D68" s="1291">
        <f>'7'!D141</f>
        <v>4425</v>
      </c>
      <c r="E68" s="1291">
        <v>4209</v>
      </c>
      <c r="F68" s="1291">
        <v>-126</v>
      </c>
      <c r="G68" s="1291">
        <f t="shared" si="18"/>
        <v>4083</v>
      </c>
      <c r="H68" s="1291"/>
      <c r="I68" s="1291">
        <f t="shared" si="19"/>
        <v>4083</v>
      </c>
      <c r="J68" s="1291"/>
      <c r="K68" s="1291">
        <f t="shared" si="19"/>
        <v>4083</v>
      </c>
      <c r="L68" s="1292"/>
      <c r="M68" s="1291">
        <v>4083</v>
      </c>
      <c r="N68" s="1298"/>
      <c r="O68" s="1294"/>
    </row>
    <row r="69" spans="1:15" s="1295" customFormat="1" ht="33" customHeight="1" x14ac:dyDescent="0.2">
      <c r="A69" s="1296"/>
      <c r="B69" s="1297" t="s">
        <v>866</v>
      </c>
      <c r="C69" s="1292"/>
      <c r="D69" s="1291">
        <f>'7'!D154</f>
        <v>8000</v>
      </c>
      <c r="E69" s="1291">
        <f t="shared" si="17"/>
        <v>8000</v>
      </c>
      <c r="F69" s="1291"/>
      <c r="G69" s="1291">
        <f t="shared" si="18"/>
        <v>8000</v>
      </c>
      <c r="H69" s="1291"/>
      <c r="I69" s="1291">
        <f t="shared" si="19"/>
        <v>8000</v>
      </c>
      <c r="J69" s="1291"/>
      <c r="K69" s="1291">
        <f t="shared" si="19"/>
        <v>8000</v>
      </c>
      <c r="L69" s="1291">
        <v>8000</v>
      </c>
      <c r="M69" s="1292"/>
      <c r="N69" s="1298"/>
      <c r="O69" s="1294"/>
    </row>
    <row r="70" spans="1:15" s="1295" customFormat="1" ht="33" customHeight="1" x14ac:dyDescent="0.2">
      <c r="A70" s="1296"/>
      <c r="B70" s="1297" t="s">
        <v>856</v>
      </c>
      <c r="C70" s="1292"/>
      <c r="D70" s="1291">
        <f>'7'!D202</f>
        <v>0</v>
      </c>
      <c r="E70" s="1291">
        <f t="shared" si="17"/>
        <v>0</v>
      </c>
      <c r="F70" s="1291"/>
      <c r="G70" s="1291">
        <f t="shared" si="18"/>
        <v>0</v>
      </c>
      <c r="H70" s="1291"/>
      <c r="I70" s="1291">
        <f t="shared" si="19"/>
        <v>0</v>
      </c>
      <c r="J70" s="1291"/>
      <c r="K70" s="1291">
        <f t="shared" si="19"/>
        <v>0</v>
      </c>
      <c r="L70" s="1291">
        <v>0</v>
      </c>
      <c r="M70" s="1292"/>
      <c r="N70" s="1298"/>
      <c r="O70" s="1294"/>
    </row>
    <row r="71" spans="1:15" s="594" customFormat="1" ht="30.75" customHeight="1" thickBot="1" x14ac:dyDescent="0.25">
      <c r="A71" s="1108"/>
      <c r="B71" s="1138" t="s">
        <v>462</v>
      </c>
      <c r="C71" s="1192">
        <f>SUM(C57)</f>
        <v>0</v>
      </c>
      <c r="D71" s="1192">
        <f>D60+D61+D62+D63+D64+D58+D59</f>
        <v>26074</v>
      </c>
      <c r="E71" s="1192">
        <f>E59+E60+E61+E62+E63+E64+E58</f>
        <v>25858</v>
      </c>
      <c r="F71" s="1192">
        <f>SUM(F58:F64)</f>
        <v>-126</v>
      </c>
      <c r="G71" s="1192">
        <f>SUM(G58:G64)</f>
        <v>25732</v>
      </c>
      <c r="H71" s="1192">
        <f>SUM(H58:H64)</f>
        <v>0</v>
      </c>
      <c r="I71" s="1192">
        <f>SUM(I58:I64)</f>
        <v>25732</v>
      </c>
      <c r="J71" s="1192"/>
      <c r="K71" s="1192">
        <f>SUM(K58:K64)</f>
        <v>25532</v>
      </c>
      <c r="L71" s="1192">
        <f>L60+L61+L62+L63+L64+L58+L59</f>
        <v>21449</v>
      </c>
      <c r="M71" s="1192">
        <f>M60+M61+M62+M63+M64</f>
        <v>4083</v>
      </c>
      <c r="N71" s="1193">
        <f>SUM(N57)</f>
        <v>0</v>
      </c>
      <c r="O71" s="1039">
        <f t="shared" si="6"/>
        <v>25532</v>
      </c>
    </row>
    <row r="72" spans="1:15" s="364" customFormat="1" ht="36" customHeight="1" thickBot="1" x14ac:dyDescent="0.25">
      <c r="A72" s="796"/>
      <c r="B72" s="1204" t="s">
        <v>458</v>
      </c>
      <c r="C72" s="797"/>
      <c r="D72" s="797"/>
      <c r="E72" s="797"/>
      <c r="F72" s="797"/>
      <c r="G72" s="797"/>
      <c r="H72" s="797"/>
      <c r="I72" s="797"/>
      <c r="J72" s="797"/>
      <c r="K72" s="797"/>
      <c r="L72" s="1033"/>
      <c r="M72" s="1033"/>
      <c r="N72" s="1034"/>
      <c r="O72" s="1039">
        <f t="shared" si="6"/>
        <v>0</v>
      </c>
    </row>
    <row r="73" spans="1:15" s="364" customFormat="1" ht="33.950000000000003" customHeight="1" x14ac:dyDescent="0.2">
      <c r="A73" s="547" t="s">
        <v>61</v>
      </c>
      <c r="B73" s="1035" t="s">
        <v>199</v>
      </c>
      <c r="C73" s="1182">
        <v>14000</v>
      </c>
      <c r="D73" s="1182">
        <v>15240</v>
      </c>
      <c r="E73" s="1182">
        <v>26000</v>
      </c>
      <c r="F73" s="1182"/>
      <c r="G73" s="1182">
        <f t="shared" ref="G73:G78" si="20">E73+F73</f>
        <v>26000</v>
      </c>
      <c r="H73" s="1182"/>
      <c r="I73" s="1182">
        <f t="shared" ref="I73:K78" si="21">G73+H73</f>
        <v>26000</v>
      </c>
      <c r="J73" s="1182"/>
      <c r="K73" s="1182">
        <f t="shared" si="21"/>
        <v>26000</v>
      </c>
      <c r="L73" s="1182">
        <f>14000+D73</f>
        <v>29240</v>
      </c>
      <c r="M73" s="1182">
        <v>0</v>
      </c>
      <c r="N73" s="1183"/>
      <c r="O73" s="1039">
        <f t="shared" si="6"/>
        <v>29240</v>
      </c>
    </row>
    <row r="74" spans="1:15" s="364" customFormat="1" ht="33.950000000000003" customHeight="1" x14ac:dyDescent="0.2">
      <c r="A74" s="547" t="s">
        <v>62</v>
      </c>
      <c r="B74" s="1035" t="s">
        <v>504</v>
      </c>
      <c r="C74" s="1182">
        <v>3780</v>
      </c>
      <c r="D74" s="1182"/>
      <c r="E74" s="1182">
        <v>7020</v>
      </c>
      <c r="F74" s="1182"/>
      <c r="G74" s="1182">
        <f t="shared" si="20"/>
        <v>7020</v>
      </c>
      <c r="H74" s="1182"/>
      <c r="I74" s="1182">
        <f t="shared" si="21"/>
        <v>7020</v>
      </c>
      <c r="J74" s="1182"/>
      <c r="K74" s="1182">
        <f t="shared" si="21"/>
        <v>7020</v>
      </c>
      <c r="L74" s="1182">
        <v>3780</v>
      </c>
      <c r="M74" s="1182">
        <v>0</v>
      </c>
      <c r="N74" s="1183"/>
      <c r="O74" s="1039">
        <f t="shared" si="6"/>
        <v>3780</v>
      </c>
    </row>
    <row r="75" spans="1:15" s="364" customFormat="1" ht="33.950000000000003" customHeight="1" x14ac:dyDescent="0.2">
      <c r="A75" s="547" t="s">
        <v>63</v>
      </c>
      <c r="B75" s="1035" t="s">
        <v>820</v>
      </c>
      <c r="C75" s="1182">
        <v>71700</v>
      </c>
      <c r="D75" s="1182">
        <v>16290</v>
      </c>
      <c r="E75" s="1182">
        <v>77990</v>
      </c>
      <c r="F75" s="1182"/>
      <c r="G75" s="1182">
        <f t="shared" si="20"/>
        <v>77990</v>
      </c>
      <c r="H75" s="1182"/>
      <c r="I75" s="1182">
        <f t="shared" si="21"/>
        <v>77990</v>
      </c>
      <c r="J75" s="1182"/>
      <c r="K75" s="1182">
        <f t="shared" si="21"/>
        <v>77990</v>
      </c>
      <c r="L75" s="1182">
        <v>77990</v>
      </c>
      <c r="M75" s="1182">
        <v>0</v>
      </c>
      <c r="N75" s="1183"/>
      <c r="O75" s="1039">
        <f t="shared" si="6"/>
        <v>77990</v>
      </c>
    </row>
    <row r="76" spans="1:15" s="364" customFormat="1" ht="33.950000000000003" customHeight="1" x14ac:dyDescent="0.2">
      <c r="A76" s="552" t="s">
        <v>64</v>
      </c>
      <c r="B76" s="1385" t="s">
        <v>916</v>
      </c>
      <c r="C76" s="1185"/>
      <c r="D76" s="1185"/>
      <c r="E76" s="1185">
        <v>10000</v>
      </c>
      <c r="F76" s="1185"/>
      <c r="G76" s="1185">
        <f t="shared" si="20"/>
        <v>10000</v>
      </c>
      <c r="H76" s="1185"/>
      <c r="I76" s="1185">
        <f t="shared" si="21"/>
        <v>10000</v>
      </c>
      <c r="J76" s="1185"/>
      <c r="K76" s="1182">
        <f t="shared" si="21"/>
        <v>10000</v>
      </c>
      <c r="L76" s="1185">
        <v>10000</v>
      </c>
      <c r="M76" s="1185"/>
      <c r="N76" s="1186"/>
      <c r="O76" s="1039"/>
    </row>
    <row r="77" spans="1:15" s="364" customFormat="1" ht="33.950000000000003" customHeight="1" x14ac:dyDescent="0.2">
      <c r="A77" s="552" t="s">
        <v>918</v>
      </c>
      <c r="B77" s="1385" t="s">
        <v>919</v>
      </c>
      <c r="C77" s="1185"/>
      <c r="D77" s="1185"/>
      <c r="E77" s="1185">
        <v>1000</v>
      </c>
      <c r="F77" s="1185"/>
      <c r="G77" s="1185">
        <f t="shared" si="20"/>
        <v>1000</v>
      </c>
      <c r="H77" s="1185"/>
      <c r="I77" s="1185">
        <f t="shared" si="21"/>
        <v>1000</v>
      </c>
      <c r="J77" s="1185">
        <v>600</v>
      </c>
      <c r="K77" s="1182">
        <f t="shared" si="21"/>
        <v>1600</v>
      </c>
      <c r="L77" s="1185">
        <v>1600</v>
      </c>
      <c r="M77" s="1185"/>
      <c r="N77" s="1186"/>
      <c r="O77" s="1039"/>
    </row>
    <row r="78" spans="1:15" s="364" customFormat="1" ht="33.950000000000003" customHeight="1" x14ac:dyDescent="0.2">
      <c r="A78" s="552" t="s">
        <v>66</v>
      </c>
      <c r="B78" s="1385" t="s">
        <v>920</v>
      </c>
      <c r="C78" s="1185"/>
      <c r="D78" s="1185"/>
      <c r="E78" s="1185">
        <v>270</v>
      </c>
      <c r="F78" s="1185"/>
      <c r="G78" s="1185">
        <f t="shared" si="20"/>
        <v>270</v>
      </c>
      <c r="H78" s="1185"/>
      <c r="I78" s="1185">
        <f t="shared" si="21"/>
        <v>270</v>
      </c>
      <c r="J78" s="1185">
        <v>110</v>
      </c>
      <c r="K78" s="1182">
        <f t="shared" si="21"/>
        <v>380</v>
      </c>
      <c r="L78" s="1185">
        <v>380</v>
      </c>
      <c r="M78" s="1185"/>
      <c r="N78" s="1186"/>
      <c r="O78" s="1039"/>
    </row>
    <row r="79" spans="1:15" s="111" customFormat="1" ht="33" customHeight="1" x14ac:dyDescent="0.2">
      <c r="A79" s="1409"/>
      <c r="B79" s="1390" t="s">
        <v>462</v>
      </c>
      <c r="C79" s="1391">
        <f>SUM(C73:C75)</f>
        <v>89480</v>
      </c>
      <c r="D79" s="1391">
        <f>SUM(D73:D75)</f>
        <v>31530</v>
      </c>
      <c r="E79" s="1391">
        <f t="shared" ref="E79:L79" si="22">SUM(E73:E78)</f>
        <v>122280</v>
      </c>
      <c r="F79" s="1391">
        <f t="shared" si="22"/>
        <v>0</v>
      </c>
      <c r="G79" s="1391">
        <f t="shared" si="22"/>
        <v>122280</v>
      </c>
      <c r="H79" s="1391">
        <f t="shared" si="22"/>
        <v>0</v>
      </c>
      <c r="I79" s="1391">
        <f t="shared" si="22"/>
        <v>122280</v>
      </c>
      <c r="J79" s="1391">
        <f t="shared" si="22"/>
        <v>710</v>
      </c>
      <c r="K79" s="1391">
        <f t="shared" si="22"/>
        <v>122990</v>
      </c>
      <c r="L79" s="1391">
        <f t="shared" si="22"/>
        <v>122990</v>
      </c>
      <c r="M79" s="1391">
        <f>SUM(M73)</f>
        <v>0</v>
      </c>
      <c r="N79" s="1410">
        <f>SUM(N73)</f>
        <v>0</v>
      </c>
      <c r="O79" s="1039">
        <f t="shared" si="6"/>
        <v>122990</v>
      </c>
    </row>
    <row r="80" spans="1:15" s="364" customFormat="1" ht="36" customHeight="1" thickBot="1" x14ac:dyDescent="0.25">
      <c r="A80" s="1389"/>
      <c r="B80" s="1724" t="s">
        <v>367</v>
      </c>
      <c r="C80" s="1724"/>
      <c r="D80" s="1724"/>
      <c r="E80" s="1724"/>
      <c r="F80" s="1724"/>
      <c r="G80" s="1724"/>
      <c r="H80" s="1724"/>
      <c r="I80" s="1724"/>
      <c r="J80" s="1724"/>
      <c r="K80" s="1724"/>
      <c r="L80" s="1724"/>
      <c r="M80" s="1724"/>
      <c r="N80" s="1725"/>
      <c r="O80" s="1039"/>
    </row>
    <row r="81" spans="1:15" s="364" customFormat="1" ht="33.950000000000003" customHeight="1" x14ac:dyDescent="0.2">
      <c r="A81" s="798" t="s">
        <v>61</v>
      </c>
      <c r="B81" s="1036" t="s">
        <v>853</v>
      </c>
      <c r="C81" s="1194">
        <v>2000</v>
      </c>
      <c r="D81" s="1194">
        <v>10000</v>
      </c>
      <c r="E81" s="1194">
        <f>C81+D81</f>
        <v>12000</v>
      </c>
      <c r="F81" s="1194"/>
      <c r="G81" s="1194">
        <f>E81+F81</f>
        <v>12000</v>
      </c>
      <c r="H81" s="1194"/>
      <c r="I81" s="1194">
        <f>G81+H81</f>
        <v>12000</v>
      </c>
      <c r="J81" s="1194"/>
      <c r="K81" s="1194">
        <f>I81+J81</f>
        <v>12000</v>
      </c>
      <c r="L81" s="1195">
        <f>E81*0.75</f>
        <v>9000</v>
      </c>
      <c r="M81" s="1194">
        <f>E81-L81</f>
        <v>3000</v>
      </c>
      <c r="N81" s="1196"/>
      <c r="O81" s="1039">
        <f t="shared" si="6"/>
        <v>12000</v>
      </c>
    </row>
    <row r="82" spans="1:15" s="364" customFormat="1" ht="33.950000000000003" customHeight="1" x14ac:dyDescent="0.2">
      <c r="A82" s="799" t="s">
        <v>62</v>
      </c>
      <c r="B82" s="1037" t="s">
        <v>362</v>
      </c>
      <c r="C82" s="1188">
        <v>2000</v>
      </c>
      <c r="D82" s="1188">
        <v>16151</v>
      </c>
      <c r="E82" s="1188">
        <f>C82+D82</f>
        <v>18151</v>
      </c>
      <c r="F82" s="1194">
        <v>-2700</v>
      </c>
      <c r="G82" s="1194">
        <f>E82+F82</f>
        <v>15451</v>
      </c>
      <c r="H82" s="1194">
        <v>-3100</v>
      </c>
      <c r="I82" s="1194">
        <f>G82+H82</f>
        <v>12351</v>
      </c>
      <c r="J82" s="1194">
        <v>-1890</v>
      </c>
      <c r="K82" s="1194">
        <f>I82+J82</f>
        <v>10461</v>
      </c>
      <c r="L82" s="1195">
        <f>K82*0.75</f>
        <v>7845.75</v>
      </c>
      <c r="M82" s="1194">
        <f>K82-L82</f>
        <v>2615.25</v>
      </c>
      <c r="N82" s="1186"/>
      <c r="O82" s="1039">
        <f t="shared" si="6"/>
        <v>10461</v>
      </c>
    </row>
    <row r="83" spans="1:15" s="364" customFormat="1" ht="33.950000000000003" customHeight="1" x14ac:dyDescent="0.2">
      <c r="A83" s="1422" t="s">
        <v>63</v>
      </c>
      <c r="B83" s="1423" t="s">
        <v>936</v>
      </c>
      <c r="C83" s="1424"/>
      <c r="D83" s="1424"/>
      <c r="E83" s="1424"/>
      <c r="F83" s="1425">
        <v>2700</v>
      </c>
      <c r="G83" s="1425">
        <v>2700</v>
      </c>
      <c r="H83" s="1425"/>
      <c r="I83" s="1425">
        <f>G83+H83</f>
        <v>2700</v>
      </c>
      <c r="J83" s="1425"/>
      <c r="K83" s="1194">
        <f>I83+J83</f>
        <v>2700</v>
      </c>
      <c r="L83" s="1426">
        <f>G83*0.75</f>
        <v>2025</v>
      </c>
      <c r="M83" s="1194">
        <f>G83-L83</f>
        <v>675</v>
      </c>
      <c r="N83" s="1427"/>
      <c r="O83" s="1039">
        <f t="shared" si="6"/>
        <v>2700</v>
      </c>
    </row>
    <row r="84" spans="1:15" s="111" customFormat="1" ht="33" customHeight="1" thickBot="1" x14ac:dyDescent="0.25">
      <c r="A84" s="800"/>
      <c r="B84" s="1038" t="s">
        <v>462</v>
      </c>
      <c r="C84" s="1197">
        <f t="shared" ref="C84:N84" si="23">SUM(C81:C82)</f>
        <v>4000</v>
      </c>
      <c r="D84" s="1197">
        <f t="shared" si="23"/>
        <v>26151</v>
      </c>
      <c r="E84" s="1197">
        <f t="shared" si="23"/>
        <v>30151</v>
      </c>
      <c r="F84" s="1197">
        <f t="shared" ref="F84:M84" si="24">SUM(F81:F83)</f>
        <v>0</v>
      </c>
      <c r="G84" s="1197">
        <f t="shared" si="24"/>
        <v>30151</v>
      </c>
      <c r="H84" s="1197">
        <f t="shared" si="24"/>
        <v>-3100</v>
      </c>
      <c r="I84" s="1197">
        <f t="shared" si="24"/>
        <v>27051</v>
      </c>
      <c r="J84" s="1197">
        <f t="shared" si="24"/>
        <v>-1890</v>
      </c>
      <c r="K84" s="1197">
        <f t="shared" si="24"/>
        <v>25161</v>
      </c>
      <c r="L84" s="1197">
        <f t="shared" si="24"/>
        <v>18870.75</v>
      </c>
      <c r="M84" s="1197">
        <f t="shared" si="24"/>
        <v>6290.25</v>
      </c>
      <c r="N84" s="1198">
        <f t="shared" si="23"/>
        <v>0</v>
      </c>
      <c r="O84" s="1039">
        <f t="shared" si="6"/>
        <v>25161</v>
      </c>
    </row>
    <row r="85" spans="1:15" s="364" customFormat="1" ht="39" customHeight="1" thickBot="1" x14ac:dyDescent="0.25">
      <c r="A85" s="795"/>
      <c r="B85" s="1043" t="s">
        <v>366</v>
      </c>
      <c r="C85" s="1199">
        <f>C84+C79</f>
        <v>93480</v>
      </c>
      <c r="D85" s="1199">
        <f t="shared" ref="D85:M85" si="25">D84+D79+D71</f>
        <v>83755</v>
      </c>
      <c r="E85" s="1199">
        <f t="shared" si="25"/>
        <v>178289</v>
      </c>
      <c r="F85" s="1199">
        <f t="shared" si="25"/>
        <v>-126</v>
      </c>
      <c r="G85" s="1199">
        <f t="shared" si="25"/>
        <v>178163</v>
      </c>
      <c r="H85" s="1199">
        <f>H71+H79+H84</f>
        <v>-3100</v>
      </c>
      <c r="I85" s="1199">
        <f>I71+I79+I84</f>
        <v>175063</v>
      </c>
      <c r="J85" s="1199">
        <f>J71+J79+J84</f>
        <v>-1180</v>
      </c>
      <c r="K85" s="1199">
        <f>K71+K79+K84</f>
        <v>173683</v>
      </c>
      <c r="L85" s="1199">
        <f t="shared" si="25"/>
        <v>163309.75</v>
      </c>
      <c r="M85" s="1199">
        <f t="shared" si="25"/>
        <v>10373.25</v>
      </c>
      <c r="N85" s="1200"/>
      <c r="O85" s="1039">
        <f t="shared" si="6"/>
        <v>173683</v>
      </c>
    </row>
    <row r="86" spans="1:15" ht="25.5" customHeight="1" x14ac:dyDescent="0.2"/>
    <row r="87" spans="1:15" x14ac:dyDescent="0.2">
      <c r="C87" s="98"/>
      <c r="D87" s="98"/>
      <c r="E87" s="98"/>
      <c r="F87" s="98"/>
      <c r="G87" s="98"/>
      <c r="H87" s="98"/>
      <c r="I87" s="98"/>
      <c r="J87" s="98"/>
      <c r="K87" s="98"/>
    </row>
    <row r="88" spans="1:15" x14ac:dyDescent="0.2">
      <c r="C88" s="98"/>
      <c r="D88" s="98"/>
      <c r="E88" s="98"/>
      <c r="F88" s="98"/>
      <c r="G88" s="98"/>
      <c r="H88" s="98"/>
      <c r="I88" s="98"/>
      <c r="J88" s="98"/>
      <c r="K88" s="98"/>
    </row>
    <row r="89" spans="1:15" x14ac:dyDescent="0.2">
      <c r="C89" s="98"/>
      <c r="D89" s="98"/>
      <c r="E89" s="98"/>
      <c r="F89" s="98"/>
      <c r="G89" s="98"/>
      <c r="H89" s="98"/>
      <c r="I89" s="98"/>
      <c r="J89" s="98"/>
      <c r="K89" s="98"/>
    </row>
    <row r="90" spans="1:15" x14ac:dyDescent="0.2">
      <c r="C90" s="98"/>
      <c r="D90" s="98"/>
      <c r="E90" s="98"/>
      <c r="F90" s="98"/>
      <c r="G90" s="98"/>
      <c r="H90" s="98"/>
      <c r="I90" s="98"/>
      <c r="J90" s="98"/>
      <c r="K90" s="98"/>
    </row>
    <row r="91" spans="1:15" x14ac:dyDescent="0.2">
      <c r="C91" s="98"/>
      <c r="D91" s="98"/>
      <c r="E91" s="98"/>
      <c r="F91" s="98"/>
      <c r="G91" s="98"/>
      <c r="H91" s="98"/>
      <c r="I91" s="98"/>
      <c r="J91" s="98"/>
      <c r="K91" s="98"/>
    </row>
    <row r="92" spans="1:15" x14ac:dyDescent="0.2">
      <c r="C92" s="98"/>
      <c r="D92" s="98"/>
      <c r="E92" s="98"/>
      <c r="F92" s="98"/>
      <c r="G92" s="98"/>
      <c r="H92" s="98"/>
      <c r="I92" s="98"/>
      <c r="J92" s="98"/>
      <c r="K92" s="98"/>
    </row>
    <row r="93" spans="1:15" x14ac:dyDescent="0.2">
      <c r="C93" s="98"/>
      <c r="D93" s="98"/>
      <c r="E93" s="98"/>
      <c r="F93" s="98"/>
      <c r="G93" s="98"/>
      <c r="H93" s="98"/>
      <c r="I93" s="98"/>
      <c r="J93" s="98"/>
      <c r="K93" s="98"/>
    </row>
  </sheetData>
  <mergeCells count="4">
    <mergeCell ref="A3:B3"/>
    <mergeCell ref="A56:B56"/>
    <mergeCell ref="A1:N2"/>
    <mergeCell ref="B80:N80"/>
  </mergeCells>
  <phoneticPr fontId="5" type="noConversion"/>
  <printOptions horizontalCentered="1"/>
  <pageMargins left="0.51181102362204722" right="0.51181102362204722" top="0.51181102362204722" bottom="0.59055118110236227" header="0.35433070866141736" footer="0.31496062992125984"/>
  <pageSetup paperSize="9" scale="55" orientation="portrait" r:id="rId1"/>
  <headerFooter alignWithMargins="0">
    <oddHeader>&amp;L&amp;"Arial,Dőlt"&amp;11&amp;U 10. melléklet a 3/2014. (II.15.) önkormányzati rendelethez</oddHeader>
    <oddFooter>&amp;C&amp;11Nagykőrös Város Önkormányzat 2014. évi költségvetési rendeletének V. sz. módosítása</oddFooter>
  </headerFooter>
  <rowBreaks count="1" manualBreakCount="1">
    <brk id="54" max="7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38"/>
  <sheetViews>
    <sheetView view="pageLayout" zoomScaleNormal="100" zoomScaleSheetLayoutView="100" workbookViewId="0">
      <selection activeCell="A2" sqref="A2"/>
    </sheetView>
  </sheetViews>
  <sheetFormatPr defaultColWidth="9.140625" defaultRowHeight="15" x14ac:dyDescent="0.2"/>
  <cols>
    <col min="1" max="1" width="4.5703125" style="98" customWidth="1"/>
    <col min="2" max="2" width="36.85546875" style="98" customWidth="1"/>
    <col min="3" max="10" width="13.7109375" style="98" customWidth="1"/>
    <col min="11" max="11" width="32.85546875" style="98" customWidth="1"/>
    <col min="12" max="16384" width="9.140625" style="98"/>
  </cols>
  <sheetData>
    <row r="1" spans="1:10" ht="18.75" x14ac:dyDescent="0.2">
      <c r="A1" s="1717" t="s">
        <v>14</v>
      </c>
      <c r="B1" s="1717"/>
      <c r="C1" s="1717"/>
      <c r="D1" s="1717"/>
      <c r="E1" s="1717"/>
      <c r="F1" s="1717"/>
      <c r="G1" s="1717"/>
      <c r="H1" s="1717"/>
      <c r="I1" s="1717"/>
      <c r="J1" s="1717"/>
    </row>
    <row r="2" spans="1:10" x14ac:dyDescent="0.2">
      <c r="A2" s="158"/>
      <c r="B2" s="159"/>
      <c r="C2" s="160"/>
      <c r="D2" s="160"/>
      <c r="E2" s="160"/>
      <c r="F2" s="160"/>
      <c r="G2" s="160"/>
    </row>
    <row r="3" spans="1:10" ht="21" customHeight="1" thickBot="1" x14ac:dyDescent="0.25">
      <c r="B3" s="1718" t="s">
        <v>38</v>
      </c>
      <c r="C3" s="1718"/>
      <c r="D3" s="1718"/>
      <c r="E3" s="1718"/>
    </row>
    <row r="4" spans="1:10" ht="45" customHeight="1" thickBot="1" x14ac:dyDescent="0.25">
      <c r="A4" s="176"/>
      <c r="B4" s="602" t="s">
        <v>111</v>
      </c>
      <c r="C4" s="602" t="s">
        <v>15</v>
      </c>
      <c r="D4" s="602" t="s">
        <v>145</v>
      </c>
      <c r="E4" s="602" t="s">
        <v>16</v>
      </c>
      <c r="F4" s="602" t="s">
        <v>17</v>
      </c>
      <c r="G4" s="602" t="s">
        <v>302</v>
      </c>
      <c r="H4" s="602" t="s">
        <v>480</v>
      </c>
      <c r="I4" s="602" t="s">
        <v>479</v>
      </c>
      <c r="J4" s="194" t="s">
        <v>177</v>
      </c>
    </row>
    <row r="5" spans="1:10" ht="18" customHeight="1" x14ac:dyDescent="0.2">
      <c r="A5" s="141">
        <v>1</v>
      </c>
      <c r="B5" s="104" t="s">
        <v>18</v>
      </c>
      <c r="C5" s="150">
        <v>3923983</v>
      </c>
      <c r="D5" s="150">
        <v>0</v>
      </c>
      <c r="E5" s="150">
        <v>4072</v>
      </c>
      <c r="F5" s="150">
        <f>(1454+1177+891+2185+3916+420+1008+3782+1462+679+708+889+748856+1462+937+420+18488+1261+632+239+748856+1600+1462+1083+748856+97060+1462+9244+767)*0.85</f>
        <v>2041067.5999999999</v>
      </c>
      <c r="G5" s="150">
        <v>1856412</v>
      </c>
      <c r="H5" s="150">
        <v>0</v>
      </c>
      <c r="I5" s="190"/>
      <c r="J5" s="179">
        <f>SUM(D5:H5)</f>
        <v>3901551.5999999996</v>
      </c>
    </row>
    <row r="6" spans="1:10" ht="18" customHeight="1" x14ac:dyDescent="0.2">
      <c r="A6" s="138">
        <v>2</v>
      </c>
      <c r="B6" s="63" t="s">
        <v>19</v>
      </c>
      <c r="C6" s="146">
        <v>692467</v>
      </c>
      <c r="D6" s="146">
        <v>0</v>
      </c>
      <c r="E6" s="146">
        <v>774</v>
      </c>
      <c r="F6" s="146">
        <f>(1454+1177+891+2185+3916+420+1008+3782+1462+679+708+889+748856+1462+937+420+18488+1261+632+239+748856+1600+1462+1083+748856+97060+1462+9244+767)*0.15</f>
        <v>360188.39999999997</v>
      </c>
      <c r="G6" s="146">
        <v>327602</v>
      </c>
      <c r="H6" s="146">
        <v>0</v>
      </c>
      <c r="I6" s="146"/>
      <c r="J6" s="177">
        <f t="shared" ref="J6:J12" si="0">SUM(D6:G6)</f>
        <v>688564.39999999991</v>
      </c>
    </row>
    <row r="7" spans="1:10" ht="18" customHeight="1" x14ac:dyDescent="0.2">
      <c r="A7" s="138">
        <v>3</v>
      </c>
      <c r="B7" s="63" t="s">
        <v>20</v>
      </c>
      <c r="C7" s="146">
        <v>0</v>
      </c>
      <c r="D7" s="146">
        <v>0</v>
      </c>
      <c r="E7" s="146">
        <v>0</v>
      </c>
      <c r="F7" s="146">
        <v>0</v>
      </c>
      <c r="G7" s="146">
        <f t="shared" ref="G7:H12" si="1">C7-E7-F7</f>
        <v>0</v>
      </c>
      <c r="H7" s="146">
        <f t="shared" si="1"/>
        <v>0</v>
      </c>
      <c r="I7" s="146"/>
      <c r="J7" s="177">
        <f t="shared" si="0"/>
        <v>0</v>
      </c>
    </row>
    <row r="8" spans="1:10" ht="18" customHeight="1" x14ac:dyDescent="0.2">
      <c r="A8" s="138">
        <v>4</v>
      </c>
      <c r="B8" s="63" t="s">
        <v>21</v>
      </c>
      <c r="C8" s="146">
        <v>47373</v>
      </c>
      <c r="D8" s="146">
        <v>0</v>
      </c>
      <c r="E8" s="146">
        <v>0</v>
      </c>
      <c r="F8" s="146"/>
      <c r="G8" s="146">
        <v>0</v>
      </c>
      <c r="H8" s="146">
        <v>0</v>
      </c>
      <c r="I8" s="146"/>
      <c r="J8" s="177">
        <f t="shared" si="0"/>
        <v>0</v>
      </c>
    </row>
    <row r="9" spans="1:10" ht="18" customHeight="1" x14ac:dyDescent="0.2">
      <c r="A9" s="138">
        <v>5</v>
      </c>
      <c r="B9" s="63" t="s">
        <v>22</v>
      </c>
      <c r="C9" s="146">
        <v>0</v>
      </c>
      <c r="D9" s="146">
        <v>0</v>
      </c>
      <c r="E9" s="146">
        <v>0</v>
      </c>
      <c r="F9" s="146">
        <v>0</v>
      </c>
      <c r="G9" s="146">
        <f t="shared" si="1"/>
        <v>0</v>
      </c>
      <c r="H9" s="146">
        <f t="shared" si="1"/>
        <v>0</v>
      </c>
      <c r="I9" s="146"/>
      <c r="J9" s="177">
        <f t="shared" si="0"/>
        <v>0</v>
      </c>
    </row>
    <row r="10" spans="1:10" ht="18" customHeight="1" x14ac:dyDescent="0.2">
      <c r="A10" s="138">
        <v>6</v>
      </c>
      <c r="B10" s="63" t="s">
        <v>23</v>
      </c>
      <c r="C10" s="146">
        <f>760000-26060</f>
        <v>733940</v>
      </c>
      <c r="D10" s="146">
        <v>0</v>
      </c>
      <c r="E10" s="146">
        <v>0</v>
      </c>
      <c r="F10" s="146">
        <f>433063+143793+2172</f>
        <v>579028</v>
      </c>
      <c r="G10" s="146">
        <v>151219</v>
      </c>
      <c r="H10" s="146">
        <v>0</v>
      </c>
      <c r="I10" s="146"/>
      <c r="J10" s="177">
        <f t="shared" si="0"/>
        <v>730247</v>
      </c>
    </row>
    <row r="11" spans="1:10" ht="18" customHeight="1" x14ac:dyDescent="0.2">
      <c r="A11" s="138">
        <v>7</v>
      </c>
      <c r="B11" s="63" t="s">
        <v>24</v>
      </c>
      <c r="C11" s="146">
        <f>117048+3160+9792</f>
        <v>130000</v>
      </c>
      <c r="D11" s="146">
        <v>0</v>
      </c>
      <c r="E11" s="146">
        <v>0</v>
      </c>
      <c r="F11" s="146">
        <v>18480</v>
      </c>
      <c r="G11" s="146">
        <v>111914</v>
      </c>
      <c r="H11" s="146">
        <v>0</v>
      </c>
      <c r="I11" s="146"/>
      <c r="J11" s="177">
        <f t="shared" si="0"/>
        <v>130394</v>
      </c>
    </row>
    <row r="12" spans="1:10" ht="18" customHeight="1" x14ac:dyDescent="0.2">
      <c r="A12" s="138">
        <v>8</v>
      </c>
      <c r="B12" s="63" t="s">
        <v>25</v>
      </c>
      <c r="C12" s="146">
        <v>0</v>
      </c>
      <c r="D12" s="146">
        <v>0</v>
      </c>
      <c r="E12" s="146">
        <v>0</v>
      </c>
      <c r="F12" s="146">
        <v>0</v>
      </c>
      <c r="G12" s="146">
        <f t="shared" si="1"/>
        <v>0</v>
      </c>
      <c r="H12" s="146">
        <f t="shared" si="1"/>
        <v>0</v>
      </c>
      <c r="I12" s="146"/>
      <c r="J12" s="177">
        <f t="shared" si="0"/>
        <v>0</v>
      </c>
    </row>
    <row r="13" spans="1:10" ht="18" customHeight="1" x14ac:dyDescent="0.2">
      <c r="A13" s="138">
        <v>9</v>
      </c>
      <c r="B13" s="63" t="s">
        <v>26</v>
      </c>
      <c r="C13" s="146">
        <v>1373375</v>
      </c>
      <c r="D13" s="146">
        <v>0</v>
      </c>
      <c r="E13" s="146">
        <f>432+265+538+885+19</f>
        <v>2139</v>
      </c>
      <c r="F13" s="146">
        <f>650+125+300+1165+1125+435+550+211+265+222782+435+278+125+5500+375+188+71+222782+476+435+322+222781+28875+435+2750+228</f>
        <v>713664</v>
      </c>
      <c r="G13" s="146">
        <v>309407</v>
      </c>
      <c r="H13" s="146">
        <v>0</v>
      </c>
      <c r="I13" s="146"/>
      <c r="J13" s="177">
        <f>SUM(D13:H13)</f>
        <v>1025210</v>
      </c>
    </row>
    <row r="14" spans="1:10" ht="18" customHeight="1" thickBot="1" x14ac:dyDescent="0.25">
      <c r="A14" s="166">
        <v>10</v>
      </c>
      <c r="B14" s="183" t="s">
        <v>27</v>
      </c>
      <c r="C14" s="184">
        <v>0</v>
      </c>
      <c r="D14" s="185">
        <v>1416</v>
      </c>
      <c r="E14" s="185">
        <v>-5</v>
      </c>
      <c r="F14" s="184">
        <v>12403</v>
      </c>
      <c r="G14" s="186">
        <v>216897</v>
      </c>
      <c r="H14" s="186">
        <v>0</v>
      </c>
      <c r="I14" s="186"/>
      <c r="J14" s="187">
        <f>SUM(D14:G14)</f>
        <v>230711</v>
      </c>
    </row>
    <row r="15" spans="1:10" ht="25.15" customHeight="1" thickBot="1" x14ac:dyDescent="0.25">
      <c r="A15" s="195">
        <v>11</v>
      </c>
      <c r="B15" s="103" t="s">
        <v>28</v>
      </c>
      <c r="C15" s="152">
        <f>SUM(C5:C13)</f>
        <v>6901138</v>
      </c>
      <c r="D15" s="152">
        <f>SUM(D5:D14)</f>
        <v>1416</v>
      </c>
      <c r="E15" s="152">
        <f>SUM(E5:E14)</f>
        <v>6980</v>
      </c>
      <c r="F15" s="152">
        <f>SUM(F5:F14)</f>
        <v>3724831</v>
      </c>
      <c r="G15" s="152">
        <f>SUM(G5:G14)</f>
        <v>2973451</v>
      </c>
      <c r="H15" s="152">
        <f>SUM(H5:H14)</f>
        <v>0</v>
      </c>
      <c r="I15" s="152"/>
      <c r="J15" s="196">
        <f>SUM(D15:H15)</f>
        <v>6706678</v>
      </c>
    </row>
    <row r="16" spans="1:10" ht="18" customHeight="1" x14ac:dyDescent="0.2">
      <c r="A16" s="188">
        <v>12</v>
      </c>
      <c r="B16" s="189" t="s">
        <v>29</v>
      </c>
      <c r="C16" s="190">
        <v>5493498</v>
      </c>
      <c r="D16" s="190">
        <f>548+584</f>
        <v>1132</v>
      </c>
      <c r="E16" s="190">
        <f>2406+2151+78+169+276</f>
        <v>5080</v>
      </c>
      <c r="F16" s="190">
        <f>891+1400+1454+2600+4660+500+1200+4500+1740+808+842+1058+891126+1740+1115+500+22000+1500+752+284+891126+1905+1740+1289+891126+115500+1740+11000+913</f>
        <v>2857009</v>
      </c>
      <c r="G16" s="190">
        <f>2662767+1277</f>
        <v>2664044</v>
      </c>
      <c r="H16" s="190">
        <v>0</v>
      </c>
      <c r="I16" s="190"/>
      <c r="J16" s="191">
        <f>SUM(D16:H16)</f>
        <v>5527265</v>
      </c>
    </row>
    <row r="17" spans="1:11" ht="18" customHeight="1" x14ac:dyDescent="0.2">
      <c r="A17" s="138">
        <v>13</v>
      </c>
      <c r="B17" s="63" t="s">
        <v>30</v>
      </c>
      <c r="C17" s="146">
        <v>1373375</v>
      </c>
      <c r="D17" s="146">
        <v>284</v>
      </c>
      <c r="E17" s="146">
        <f>601+538+19+265+432</f>
        <v>1855</v>
      </c>
      <c r="F17" s="146">
        <f>650+125+300+1165+1125+435+202+211+265+222782+435+278+125+5500+375+188+71+222782+476+435+322+222781+28875+435+2750+228</f>
        <v>713316</v>
      </c>
      <c r="G17" s="150">
        <v>309407</v>
      </c>
      <c r="H17" s="150">
        <v>0</v>
      </c>
      <c r="I17" s="146"/>
      <c r="J17" s="177">
        <f>SUM(D17:H17)</f>
        <v>1024862</v>
      </c>
      <c r="K17" s="98" t="s">
        <v>99</v>
      </c>
    </row>
    <row r="18" spans="1:11" ht="18" customHeight="1" x14ac:dyDescent="0.2">
      <c r="A18" s="138">
        <v>14</v>
      </c>
      <c r="B18" s="63" t="s">
        <v>31</v>
      </c>
      <c r="C18" s="146">
        <v>0</v>
      </c>
      <c r="D18" s="146">
        <v>0</v>
      </c>
      <c r="E18" s="146">
        <v>0</v>
      </c>
      <c r="F18" s="146">
        <v>0</v>
      </c>
      <c r="G18" s="150">
        <f t="shared" ref="G18:H24" si="2">C18-D18-E18-F18</f>
        <v>0</v>
      </c>
      <c r="H18" s="150">
        <f t="shared" si="2"/>
        <v>0</v>
      </c>
      <c r="I18" s="146"/>
      <c r="J18" s="177">
        <f t="shared" ref="J18:J25" si="3">SUM(D18:G18)</f>
        <v>0</v>
      </c>
      <c r="K18" s="98" t="s">
        <v>99</v>
      </c>
    </row>
    <row r="19" spans="1:11" ht="18" customHeight="1" x14ac:dyDescent="0.2">
      <c r="A19" s="138">
        <v>15</v>
      </c>
      <c r="B19" s="63" t="s">
        <v>32</v>
      </c>
      <c r="C19" s="146">
        <v>0</v>
      </c>
      <c r="D19" s="146">
        <v>0</v>
      </c>
      <c r="E19" s="146">
        <v>0</v>
      </c>
      <c r="F19" s="146">
        <v>0</v>
      </c>
      <c r="G19" s="150">
        <f t="shared" si="2"/>
        <v>0</v>
      </c>
      <c r="H19" s="150">
        <f t="shared" si="2"/>
        <v>0</v>
      </c>
      <c r="I19" s="146"/>
      <c r="J19" s="177">
        <f t="shared" si="3"/>
        <v>0</v>
      </c>
    </row>
    <row r="20" spans="1:11" ht="18" customHeight="1" x14ac:dyDescent="0.2">
      <c r="A20" s="138">
        <v>16</v>
      </c>
      <c r="B20" s="63" t="s">
        <v>41</v>
      </c>
      <c r="C20" s="146">
        <v>0</v>
      </c>
      <c r="D20" s="146">
        <v>0</v>
      </c>
      <c r="E20" s="146">
        <v>0</v>
      </c>
      <c r="F20" s="146">
        <v>0</v>
      </c>
      <c r="G20" s="150">
        <f t="shared" si="2"/>
        <v>0</v>
      </c>
      <c r="H20" s="150">
        <f t="shared" si="2"/>
        <v>0</v>
      </c>
      <c r="I20" s="146"/>
      <c r="J20" s="177">
        <f t="shared" si="3"/>
        <v>0</v>
      </c>
    </row>
    <row r="21" spans="1:11" ht="18" customHeight="1" x14ac:dyDescent="0.2">
      <c r="A21" s="138">
        <v>17</v>
      </c>
      <c r="B21" s="63" t="s">
        <v>42</v>
      </c>
      <c r="C21" s="146">
        <v>0</v>
      </c>
      <c r="D21" s="146">
        <v>0</v>
      </c>
      <c r="E21" s="146">
        <v>0</v>
      </c>
      <c r="F21" s="146">
        <v>0</v>
      </c>
      <c r="G21" s="150">
        <f t="shared" si="2"/>
        <v>0</v>
      </c>
      <c r="H21" s="150">
        <f t="shared" si="2"/>
        <v>0</v>
      </c>
      <c r="I21" s="146"/>
      <c r="J21" s="177">
        <f t="shared" si="3"/>
        <v>0</v>
      </c>
    </row>
    <row r="22" spans="1:11" ht="18" customHeight="1" x14ac:dyDescent="0.2">
      <c r="A22" s="138">
        <v>18</v>
      </c>
      <c r="B22" s="63" t="s">
        <v>49</v>
      </c>
      <c r="C22" s="146">
        <v>0</v>
      </c>
      <c r="D22" s="146">
        <v>0</v>
      </c>
      <c r="E22" s="146">
        <v>0</v>
      </c>
      <c r="F22" s="146">
        <v>0</v>
      </c>
      <c r="G22" s="150">
        <f t="shared" si="2"/>
        <v>0</v>
      </c>
      <c r="H22" s="150">
        <f t="shared" si="2"/>
        <v>0</v>
      </c>
      <c r="I22" s="146"/>
      <c r="J22" s="177">
        <f t="shared" si="3"/>
        <v>0</v>
      </c>
    </row>
    <row r="23" spans="1:11" ht="18" customHeight="1" x14ac:dyDescent="0.2">
      <c r="A23" s="138">
        <v>19</v>
      </c>
      <c r="B23" s="63" t="s">
        <v>33</v>
      </c>
      <c r="C23" s="146">
        <v>0</v>
      </c>
      <c r="D23" s="146">
        <v>0</v>
      </c>
      <c r="E23" s="146">
        <v>0</v>
      </c>
      <c r="F23" s="146">
        <v>0</v>
      </c>
      <c r="G23" s="150">
        <f t="shared" si="2"/>
        <v>0</v>
      </c>
      <c r="H23" s="150">
        <f t="shared" si="2"/>
        <v>0</v>
      </c>
      <c r="I23" s="146"/>
      <c r="J23" s="177">
        <f t="shared" si="3"/>
        <v>0</v>
      </c>
    </row>
    <row r="24" spans="1:11" ht="18" customHeight="1" x14ac:dyDescent="0.2">
      <c r="A24" s="138">
        <v>20</v>
      </c>
      <c r="B24" s="63" t="s">
        <v>34</v>
      </c>
      <c r="C24" s="146">
        <v>0</v>
      </c>
      <c r="D24" s="146">
        <v>0</v>
      </c>
      <c r="E24" s="146">
        <v>0</v>
      </c>
      <c r="F24" s="146">
        <v>0</v>
      </c>
      <c r="G24" s="150">
        <f t="shared" si="2"/>
        <v>0</v>
      </c>
      <c r="H24" s="150">
        <f t="shared" si="2"/>
        <v>0</v>
      </c>
      <c r="I24" s="146"/>
      <c r="J24" s="177">
        <f t="shared" si="3"/>
        <v>0</v>
      </c>
    </row>
    <row r="25" spans="1:11" ht="18" customHeight="1" thickBot="1" x14ac:dyDescent="0.25">
      <c r="A25" s="166">
        <v>21</v>
      </c>
      <c r="B25" s="183" t="s">
        <v>35</v>
      </c>
      <c r="C25" s="184">
        <v>0</v>
      </c>
      <c r="D25" s="184">
        <v>0</v>
      </c>
      <c r="E25" s="184">
        <v>0</v>
      </c>
      <c r="F25" s="184">
        <f>108+151283</f>
        <v>151391</v>
      </c>
      <c r="G25" s="186">
        <v>0</v>
      </c>
      <c r="H25" s="186">
        <v>0</v>
      </c>
      <c r="I25" s="186"/>
      <c r="J25" s="187">
        <f t="shared" si="3"/>
        <v>151391</v>
      </c>
    </row>
    <row r="26" spans="1:11" ht="25.15" customHeight="1" thickBot="1" x14ac:dyDescent="0.25">
      <c r="A26" s="195">
        <v>22</v>
      </c>
      <c r="B26" s="103" t="s">
        <v>36</v>
      </c>
      <c r="C26" s="152">
        <f>C16</f>
        <v>5493498</v>
      </c>
      <c r="D26" s="152">
        <f>D16</f>
        <v>1132</v>
      </c>
      <c r="E26" s="152">
        <f>E16</f>
        <v>5080</v>
      </c>
      <c r="F26" s="152">
        <f>SUM(F16:F25)</f>
        <v>3721716</v>
      </c>
      <c r="G26" s="152">
        <f>SUM(G16:G25)</f>
        <v>2973451</v>
      </c>
      <c r="H26" s="152">
        <f>SUM(H16:H25)</f>
        <v>0</v>
      </c>
      <c r="I26" s="152"/>
      <c r="J26" s="196">
        <f>SUM(D26:H26)</f>
        <v>6701379</v>
      </c>
    </row>
    <row r="27" spans="1:11" ht="18" customHeight="1" x14ac:dyDescent="0.2">
      <c r="A27" s="188">
        <v>23</v>
      </c>
      <c r="B27" s="189" t="s">
        <v>146</v>
      </c>
      <c r="C27" s="190">
        <v>27033</v>
      </c>
      <c r="D27" s="190"/>
      <c r="E27" s="190">
        <f>20+25</f>
        <v>45</v>
      </c>
      <c r="F27" s="190">
        <f>1392+1104</f>
        <v>2496</v>
      </c>
      <c r="G27" s="190">
        <v>0</v>
      </c>
      <c r="H27" s="190">
        <v>0</v>
      </c>
      <c r="I27" s="190"/>
      <c r="J27" s="191">
        <f>SUM(D27:G27)</f>
        <v>2541</v>
      </c>
    </row>
    <row r="28" spans="1:11" ht="18" customHeight="1" thickBot="1" x14ac:dyDescent="0.25">
      <c r="A28" s="166">
        <v>24</v>
      </c>
      <c r="B28" s="192" t="s">
        <v>147</v>
      </c>
      <c r="C28" s="193">
        <v>7232</v>
      </c>
      <c r="D28" s="193"/>
      <c r="E28" s="193"/>
      <c r="F28" s="193">
        <f>348+271</f>
        <v>619</v>
      </c>
      <c r="G28" s="193">
        <v>0</v>
      </c>
      <c r="H28" s="193">
        <v>0</v>
      </c>
      <c r="I28" s="186"/>
      <c r="J28" s="187">
        <f>SUM(D28:G28)</f>
        <v>619</v>
      </c>
    </row>
    <row r="29" spans="1:11" ht="25.15" customHeight="1" thickBot="1" x14ac:dyDescent="0.25">
      <c r="A29" s="195">
        <v>25</v>
      </c>
      <c r="B29" s="103" t="s">
        <v>60</v>
      </c>
      <c r="C29" s="152">
        <f>SUM(C16:C17)+C27+C28</f>
        <v>6901138</v>
      </c>
      <c r="D29" s="152">
        <f>SUM(D16:D17)+D27+D28</f>
        <v>1416</v>
      </c>
      <c r="E29" s="152">
        <f>SUM(E16:E17)+E27+E28</f>
        <v>6980</v>
      </c>
      <c r="F29" s="152">
        <f>F26+F27+F28</f>
        <v>3724831</v>
      </c>
      <c r="G29" s="152">
        <f>SUM(G16:G17)+G27+G28</f>
        <v>2973451</v>
      </c>
      <c r="H29" s="152">
        <f>SUM(H16:H17)+H27+H28</f>
        <v>0</v>
      </c>
      <c r="I29" s="152"/>
      <c r="J29" s="196">
        <f>SUM(D29:H29)</f>
        <v>6706678</v>
      </c>
    </row>
    <row r="30" spans="1:11" ht="36" customHeight="1" thickBot="1" x14ac:dyDescent="0.25">
      <c r="A30" s="1715" t="s">
        <v>520</v>
      </c>
      <c r="B30" s="1715"/>
      <c r="C30" s="1715"/>
      <c r="D30" s="1715"/>
      <c r="E30" s="1715"/>
      <c r="F30" s="1715"/>
      <c r="G30" s="153"/>
      <c r="H30" s="156"/>
      <c r="I30" s="156"/>
    </row>
    <row r="31" spans="1:11" ht="46.9" customHeight="1" thickBot="1" x14ac:dyDescent="0.25">
      <c r="A31" s="176"/>
      <c r="B31" s="602" t="s">
        <v>111</v>
      </c>
      <c r="C31" s="602" t="s">
        <v>15</v>
      </c>
      <c r="D31" s="602" t="s">
        <v>521</v>
      </c>
      <c r="E31" s="602" t="s">
        <v>479</v>
      </c>
      <c r="F31" s="603" t="s">
        <v>177</v>
      </c>
    </row>
    <row r="32" spans="1:11" ht="18" customHeight="1" x14ac:dyDescent="0.2">
      <c r="A32" s="141">
        <v>1</v>
      </c>
      <c r="B32" s="104" t="s">
        <v>18</v>
      </c>
      <c r="C32" s="150">
        <v>3950</v>
      </c>
      <c r="D32" s="150">
        <v>0</v>
      </c>
      <c r="E32" s="150">
        <f>+C32-D32</f>
        <v>3950</v>
      </c>
      <c r="F32" s="151">
        <f t="shared" ref="F32:F40" si="4">SUM(D32:E32)</f>
        <v>3950</v>
      </c>
    </row>
    <row r="33" spans="1:6" ht="18" customHeight="1" x14ac:dyDescent="0.2">
      <c r="A33" s="138">
        <v>2</v>
      </c>
      <c r="B33" s="63" t="s">
        <v>19</v>
      </c>
      <c r="C33" s="146">
        <v>3550</v>
      </c>
      <c r="D33" s="146">
        <v>9875</v>
      </c>
      <c r="E33" s="146">
        <v>25675</v>
      </c>
      <c r="F33" s="147">
        <f t="shared" si="4"/>
        <v>35550</v>
      </c>
    </row>
    <row r="34" spans="1:6" ht="18" customHeight="1" x14ac:dyDescent="0.2">
      <c r="A34" s="138">
        <v>3</v>
      </c>
      <c r="B34" s="63" t="s">
        <v>20</v>
      </c>
      <c r="C34" s="146">
        <v>0</v>
      </c>
      <c r="D34" s="146">
        <v>0</v>
      </c>
      <c r="E34" s="146">
        <v>0</v>
      </c>
      <c r="F34" s="147">
        <f t="shared" si="4"/>
        <v>0</v>
      </c>
    </row>
    <row r="35" spans="1:6" ht="18" customHeight="1" x14ac:dyDescent="0.2">
      <c r="A35" s="138">
        <v>4</v>
      </c>
      <c r="B35" s="63" t="s">
        <v>21</v>
      </c>
      <c r="C35" s="146">
        <v>0</v>
      </c>
      <c r="D35" s="146">
        <v>0</v>
      </c>
      <c r="E35" s="146">
        <v>0</v>
      </c>
      <c r="F35" s="147">
        <f t="shared" si="4"/>
        <v>0</v>
      </c>
    </row>
    <row r="36" spans="1:6" ht="18" customHeight="1" x14ac:dyDescent="0.2">
      <c r="A36" s="138">
        <v>5</v>
      </c>
      <c r="B36" s="63" t="s">
        <v>22</v>
      </c>
      <c r="C36" s="146">
        <v>0</v>
      </c>
      <c r="D36" s="146">
        <v>0</v>
      </c>
      <c r="E36" s="146">
        <v>0</v>
      </c>
      <c r="F36" s="147">
        <f t="shared" si="4"/>
        <v>0</v>
      </c>
    </row>
    <row r="37" spans="1:6" ht="18" customHeight="1" x14ac:dyDescent="0.2">
      <c r="A37" s="138">
        <v>6</v>
      </c>
      <c r="B37" s="63" t="s">
        <v>23</v>
      </c>
      <c r="C37" s="146">
        <v>0</v>
      </c>
      <c r="D37" s="146">
        <v>0</v>
      </c>
      <c r="E37" s="146">
        <v>0</v>
      </c>
      <c r="F37" s="147">
        <f t="shared" si="4"/>
        <v>0</v>
      </c>
    </row>
    <row r="38" spans="1:6" ht="18" customHeight="1" x14ac:dyDescent="0.2">
      <c r="A38" s="138">
        <v>7</v>
      </c>
      <c r="B38" s="63" t="s">
        <v>24</v>
      </c>
      <c r="C38" s="146">
        <v>0</v>
      </c>
      <c r="D38" s="146">
        <v>0</v>
      </c>
      <c r="E38" s="146">
        <v>0</v>
      </c>
      <c r="F38" s="147">
        <f t="shared" si="4"/>
        <v>0</v>
      </c>
    </row>
    <row r="39" spans="1:6" ht="18" customHeight="1" x14ac:dyDescent="0.2">
      <c r="A39" s="138">
        <v>8</v>
      </c>
      <c r="B39" s="63" t="s">
        <v>25</v>
      </c>
      <c r="C39" s="146">
        <v>0</v>
      </c>
      <c r="D39" s="146">
        <v>0</v>
      </c>
      <c r="E39" s="146">
        <v>0</v>
      </c>
      <c r="F39" s="147">
        <f t="shared" si="4"/>
        <v>0</v>
      </c>
    </row>
    <row r="40" spans="1:6" ht="18" customHeight="1" x14ac:dyDescent="0.2">
      <c r="A40" s="138">
        <v>9</v>
      </c>
      <c r="B40" s="63" t="s">
        <v>26</v>
      </c>
      <c r="C40" s="146">
        <v>0</v>
      </c>
      <c r="D40" s="146">
        <v>0</v>
      </c>
      <c r="E40" s="146">
        <v>0</v>
      </c>
      <c r="F40" s="147">
        <f t="shared" si="4"/>
        <v>0</v>
      </c>
    </row>
    <row r="41" spans="1:6" ht="18" customHeight="1" thickBot="1" x14ac:dyDescent="0.25">
      <c r="A41" s="168">
        <v>10</v>
      </c>
      <c r="B41" s="162" t="s">
        <v>27</v>
      </c>
      <c r="C41" s="178">
        <v>0</v>
      </c>
      <c r="D41" s="178">
        <v>0</v>
      </c>
      <c r="E41" s="178">
        <v>0</v>
      </c>
      <c r="F41" s="181">
        <f>SUM(C41:E41)</f>
        <v>0</v>
      </c>
    </row>
    <row r="42" spans="1:6" ht="25.15" customHeight="1" thickBot="1" x14ac:dyDescent="0.25">
      <c r="A42" s="195">
        <v>11</v>
      </c>
      <c r="B42" s="103" t="s">
        <v>28</v>
      </c>
      <c r="C42" s="152">
        <f>SUM(C32:C41)</f>
        <v>7500</v>
      </c>
      <c r="D42" s="152">
        <f>SUM(D32:D41)</f>
        <v>9875</v>
      </c>
      <c r="E42" s="152">
        <f>SUM(E32:E40)</f>
        <v>29625</v>
      </c>
      <c r="F42" s="154">
        <f>SUM(F32:F40)</f>
        <v>39500</v>
      </c>
    </row>
    <row r="43" spans="1:6" ht="18" customHeight="1" x14ac:dyDescent="0.2">
      <c r="A43" s="141">
        <v>12</v>
      </c>
      <c r="B43" s="104" t="s">
        <v>29</v>
      </c>
      <c r="C43" s="150">
        <v>0</v>
      </c>
      <c r="D43" s="150">
        <v>0</v>
      </c>
      <c r="E43" s="150">
        <v>0</v>
      </c>
      <c r="F43" s="151">
        <f t="shared" ref="F43:F51" si="5">SUM(D43:E43)</f>
        <v>0</v>
      </c>
    </row>
    <row r="44" spans="1:6" ht="18" customHeight="1" x14ac:dyDescent="0.2">
      <c r="A44" s="138">
        <v>13</v>
      </c>
      <c r="B44" s="63" t="s">
        <v>30</v>
      </c>
      <c r="C44" s="146">
        <v>0</v>
      </c>
      <c r="D44" s="146">
        <v>0</v>
      </c>
      <c r="E44" s="146">
        <v>0</v>
      </c>
      <c r="F44" s="147">
        <f t="shared" si="5"/>
        <v>0</v>
      </c>
    </row>
    <row r="45" spans="1:6" ht="18" customHeight="1" x14ac:dyDescent="0.2">
      <c r="A45" s="138">
        <v>14</v>
      </c>
      <c r="B45" s="63" t="s">
        <v>31</v>
      </c>
      <c r="C45" s="146">
        <v>0</v>
      </c>
      <c r="D45" s="146">
        <v>0</v>
      </c>
      <c r="E45" s="146">
        <v>0</v>
      </c>
      <c r="F45" s="147">
        <f t="shared" si="5"/>
        <v>0</v>
      </c>
    </row>
    <row r="46" spans="1:6" ht="18" customHeight="1" x14ac:dyDescent="0.2">
      <c r="A46" s="138">
        <v>15</v>
      </c>
      <c r="B46" s="63" t="s">
        <v>32</v>
      </c>
      <c r="C46" s="146">
        <v>0</v>
      </c>
      <c r="D46" s="146">
        <v>0</v>
      </c>
      <c r="E46" s="146">
        <v>0</v>
      </c>
      <c r="F46" s="147">
        <f t="shared" si="5"/>
        <v>0</v>
      </c>
    </row>
    <row r="47" spans="1:6" ht="18" customHeight="1" x14ac:dyDescent="0.2">
      <c r="A47" s="138">
        <v>16</v>
      </c>
      <c r="B47" s="63" t="s">
        <v>41</v>
      </c>
      <c r="C47" s="146">
        <v>1658</v>
      </c>
      <c r="D47" s="146">
        <v>0</v>
      </c>
      <c r="E47" s="146">
        <v>1658</v>
      </c>
      <c r="F47" s="147">
        <f t="shared" si="5"/>
        <v>1658</v>
      </c>
    </row>
    <row r="48" spans="1:6" ht="18" customHeight="1" x14ac:dyDescent="0.2">
      <c r="A48" s="138">
        <v>17</v>
      </c>
      <c r="B48" s="63" t="s">
        <v>42</v>
      </c>
      <c r="C48" s="146">
        <v>447</v>
      </c>
      <c r="D48" s="146">
        <v>0</v>
      </c>
      <c r="E48" s="146">
        <v>447</v>
      </c>
      <c r="F48" s="147">
        <f t="shared" si="5"/>
        <v>447</v>
      </c>
    </row>
    <row r="49" spans="1:6" ht="18" customHeight="1" x14ac:dyDescent="0.2">
      <c r="A49" s="138">
        <v>18</v>
      </c>
      <c r="B49" s="63" t="s">
        <v>49</v>
      </c>
      <c r="C49" s="146">
        <v>37395</v>
      </c>
      <c r="D49" s="146">
        <v>0</v>
      </c>
      <c r="E49" s="146">
        <v>37395</v>
      </c>
      <c r="F49" s="147">
        <f t="shared" si="5"/>
        <v>37395</v>
      </c>
    </row>
    <row r="50" spans="1:6" ht="18" customHeight="1" x14ac:dyDescent="0.2">
      <c r="A50" s="138">
        <v>19</v>
      </c>
      <c r="B50" s="63" t="s">
        <v>33</v>
      </c>
      <c r="C50" s="146">
        <v>0</v>
      </c>
      <c r="D50" s="146">
        <v>0</v>
      </c>
      <c r="E50" s="146">
        <v>0</v>
      </c>
      <c r="F50" s="147">
        <f t="shared" si="5"/>
        <v>0</v>
      </c>
    </row>
    <row r="51" spans="1:6" ht="18" customHeight="1" x14ac:dyDescent="0.2">
      <c r="A51" s="138">
        <v>20</v>
      </c>
      <c r="B51" s="63" t="s">
        <v>34</v>
      </c>
      <c r="C51" s="146">
        <v>0</v>
      </c>
      <c r="D51" s="146">
        <v>0</v>
      </c>
      <c r="E51" s="146">
        <v>0</v>
      </c>
      <c r="F51" s="147">
        <f t="shared" si="5"/>
        <v>0</v>
      </c>
    </row>
    <row r="52" spans="1:6" ht="18" customHeight="1" thickBot="1" x14ac:dyDescent="0.25">
      <c r="A52" s="168">
        <v>21</v>
      </c>
      <c r="B52" s="162" t="s">
        <v>35</v>
      </c>
      <c r="C52" s="178">
        <v>0</v>
      </c>
      <c r="D52" s="178">
        <v>0</v>
      </c>
      <c r="E52" s="178">
        <v>0</v>
      </c>
      <c r="F52" s="181">
        <f>SUM(C52:E52)</f>
        <v>0</v>
      </c>
    </row>
    <row r="53" spans="1:6" ht="25.15" customHeight="1" thickBot="1" x14ac:dyDescent="0.25">
      <c r="A53" s="195">
        <v>22</v>
      </c>
      <c r="B53" s="103" t="s">
        <v>36</v>
      </c>
      <c r="C53" s="152">
        <f>SUM(C43:C52)</f>
        <v>39500</v>
      </c>
      <c r="D53" s="152">
        <f>SUM(D43:D52)</f>
        <v>0</v>
      </c>
      <c r="E53" s="152">
        <f>SUM(E43:E52)</f>
        <v>39500</v>
      </c>
      <c r="F53" s="154">
        <f>SUM(D53:E53)</f>
        <v>39500</v>
      </c>
    </row>
    <row r="54" spans="1:6" ht="18" customHeight="1" thickBot="1" x14ac:dyDescent="0.25">
      <c r="A54" s="170">
        <v>23</v>
      </c>
      <c r="B54" s="165" t="s">
        <v>37</v>
      </c>
      <c r="C54" s="180">
        <v>0</v>
      </c>
      <c r="D54" s="180"/>
      <c r="E54" s="180">
        <v>0</v>
      </c>
      <c r="F54" s="182">
        <f>SUM(C54:E54)</f>
        <v>0</v>
      </c>
    </row>
    <row r="55" spans="1:6" ht="25.15" customHeight="1" thickBot="1" x14ac:dyDescent="0.25">
      <c r="A55" s="195">
        <v>24</v>
      </c>
      <c r="B55" s="103" t="s">
        <v>60</v>
      </c>
      <c r="C55" s="152">
        <f>SUM(C53:C54)</f>
        <v>39500</v>
      </c>
      <c r="D55" s="152">
        <f>SUM(D53:D54)</f>
        <v>0</v>
      </c>
      <c r="E55" s="152">
        <f>SUM(E53:E54)</f>
        <v>39500</v>
      </c>
      <c r="F55" s="154">
        <f>SUM(D55:E55)</f>
        <v>39500</v>
      </c>
    </row>
    <row r="56" spans="1:6" x14ac:dyDescent="0.2">
      <c r="A56" s="158"/>
      <c r="B56" s="159"/>
      <c r="C56" s="160"/>
      <c r="D56" s="160"/>
      <c r="E56" s="160"/>
      <c r="F56" s="160"/>
    </row>
    <row r="57" spans="1:6" x14ac:dyDescent="0.2">
      <c r="A57" s="1715" t="s">
        <v>522</v>
      </c>
      <c r="B57" s="1715"/>
      <c r="C57" s="1715"/>
      <c r="D57" s="1715"/>
      <c r="E57" s="1715"/>
      <c r="F57" s="1715"/>
    </row>
    <row r="58" spans="1:6" ht="15.75" thickBot="1" x14ac:dyDescent="0.25">
      <c r="A58" s="171"/>
      <c r="B58" s="171"/>
      <c r="C58" s="171"/>
      <c r="D58" s="171"/>
      <c r="E58" s="171"/>
      <c r="F58" s="171"/>
    </row>
    <row r="59" spans="1:6" ht="46.9" customHeight="1" thickBot="1" x14ac:dyDescent="0.25">
      <c r="A59" s="176"/>
      <c r="B59" s="602" t="s">
        <v>111</v>
      </c>
      <c r="C59" s="602" t="s">
        <v>15</v>
      </c>
      <c r="D59" s="602" t="s">
        <v>302</v>
      </c>
      <c r="E59" s="602" t="s">
        <v>480</v>
      </c>
      <c r="F59" s="603" t="s">
        <v>177</v>
      </c>
    </row>
    <row r="60" spans="1:6" ht="18" customHeight="1" x14ac:dyDescent="0.2">
      <c r="A60" s="141">
        <v>1</v>
      </c>
      <c r="B60" s="104" t="s">
        <v>18</v>
      </c>
      <c r="C60" s="150">
        <v>25500</v>
      </c>
      <c r="D60" s="150">
        <v>0</v>
      </c>
      <c r="E60" s="150">
        <v>25500</v>
      </c>
      <c r="F60" s="151">
        <f>SUM(D60:E60)</f>
        <v>25500</v>
      </c>
    </row>
    <row r="61" spans="1:6" ht="18" customHeight="1" x14ac:dyDescent="0.2">
      <c r="A61" s="138">
        <v>2</v>
      </c>
      <c r="B61" s="63" t="s">
        <v>19</v>
      </c>
      <c r="C61" s="146">
        <v>0</v>
      </c>
      <c r="D61" s="146">
        <v>0</v>
      </c>
      <c r="E61" s="146">
        <v>0</v>
      </c>
      <c r="F61" s="147">
        <f t="shared" ref="F61:F83" si="6">SUM(D61:E61)</f>
        <v>0</v>
      </c>
    </row>
    <row r="62" spans="1:6" ht="18" customHeight="1" x14ac:dyDescent="0.2">
      <c r="A62" s="138">
        <v>3</v>
      </c>
      <c r="B62" s="63" t="s">
        <v>20</v>
      </c>
      <c r="C62" s="146">
        <v>0</v>
      </c>
      <c r="D62" s="146">
        <v>0</v>
      </c>
      <c r="E62" s="146">
        <v>4500</v>
      </c>
      <c r="F62" s="147">
        <f t="shared" si="6"/>
        <v>4500</v>
      </c>
    </row>
    <row r="63" spans="1:6" ht="18" customHeight="1" x14ac:dyDescent="0.2">
      <c r="A63" s="138">
        <v>4</v>
      </c>
      <c r="B63" s="63" t="s">
        <v>21</v>
      </c>
      <c r="C63" s="146">
        <v>4500</v>
      </c>
      <c r="D63" s="146">
        <v>993</v>
      </c>
      <c r="E63" s="146">
        <v>626</v>
      </c>
      <c r="F63" s="147">
        <f t="shared" si="6"/>
        <v>1619</v>
      </c>
    </row>
    <row r="64" spans="1:6" ht="18" customHeight="1" x14ac:dyDescent="0.2">
      <c r="A64" s="138">
        <v>5</v>
      </c>
      <c r="B64" s="63" t="s">
        <v>22</v>
      </c>
      <c r="C64" s="146">
        <v>0</v>
      </c>
      <c r="D64" s="146">
        <v>0</v>
      </c>
      <c r="E64" s="146">
        <v>0</v>
      </c>
      <c r="F64" s="147">
        <f t="shared" si="6"/>
        <v>0</v>
      </c>
    </row>
    <row r="65" spans="1:6" ht="18" customHeight="1" x14ac:dyDescent="0.2">
      <c r="A65" s="138">
        <v>6</v>
      </c>
      <c r="B65" s="63" t="s">
        <v>23</v>
      </c>
      <c r="C65" s="146">
        <v>0</v>
      </c>
      <c r="D65" s="146">
        <v>0</v>
      </c>
      <c r="E65" s="146"/>
      <c r="F65" s="147">
        <f t="shared" si="6"/>
        <v>0</v>
      </c>
    </row>
    <row r="66" spans="1:6" ht="18" customHeight="1" x14ac:dyDescent="0.2">
      <c r="A66" s="138">
        <v>7</v>
      </c>
      <c r="B66" s="63" t="s">
        <v>24</v>
      </c>
      <c r="C66" s="146">
        <v>0</v>
      </c>
      <c r="D66" s="146">
        <v>0</v>
      </c>
      <c r="E66" s="146">
        <v>0</v>
      </c>
      <c r="F66" s="147">
        <f t="shared" si="6"/>
        <v>0</v>
      </c>
    </row>
    <row r="67" spans="1:6" ht="18" customHeight="1" x14ac:dyDescent="0.2">
      <c r="A67" s="138">
        <v>8</v>
      </c>
      <c r="B67" s="63" t="s">
        <v>25</v>
      </c>
      <c r="C67" s="146">
        <v>0</v>
      </c>
      <c r="D67" s="146">
        <v>0</v>
      </c>
      <c r="E67" s="146">
        <v>0</v>
      </c>
      <c r="F67" s="147">
        <f t="shared" si="6"/>
        <v>0</v>
      </c>
    </row>
    <row r="68" spans="1:6" ht="18" customHeight="1" x14ac:dyDescent="0.2">
      <c r="A68" s="138">
        <v>9</v>
      </c>
      <c r="B68" s="63" t="s">
        <v>26</v>
      </c>
      <c r="C68" s="146">
        <v>7500</v>
      </c>
      <c r="D68" s="146">
        <v>4118</v>
      </c>
      <c r="E68" s="146">
        <v>4050</v>
      </c>
      <c r="F68" s="147">
        <f t="shared" si="6"/>
        <v>8168</v>
      </c>
    </row>
    <row r="69" spans="1:6" ht="18" customHeight="1" thickBot="1" x14ac:dyDescent="0.25">
      <c r="A69" s="166">
        <v>10</v>
      </c>
      <c r="B69" s="183" t="s">
        <v>27</v>
      </c>
      <c r="C69" s="184">
        <v>0</v>
      </c>
      <c r="D69" s="184">
        <v>15970</v>
      </c>
      <c r="E69" s="184">
        <v>-15300</v>
      </c>
      <c r="F69" s="803">
        <f t="shared" si="6"/>
        <v>670</v>
      </c>
    </row>
    <row r="70" spans="1:6" ht="25.15" customHeight="1" thickBot="1" x14ac:dyDescent="0.25">
      <c r="A70" s="195">
        <v>11</v>
      </c>
      <c r="B70" s="103" t="s">
        <v>28</v>
      </c>
      <c r="C70" s="152">
        <f>SUM(C60:C69)</f>
        <v>37500</v>
      </c>
      <c r="D70" s="152">
        <f>SUM(D60:D68)</f>
        <v>5111</v>
      </c>
      <c r="E70" s="601">
        <f>SUM(E60:E68)</f>
        <v>34676</v>
      </c>
      <c r="F70" s="154">
        <f t="shared" si="6"/>
        <v>39787</v>
      </c>
    </row>
    <row r="71" spans="1:6" ht="18" customHeight="1" x14ac:dyDescent="0.2">
      <c r="A71" s="141">
        <v>12</v>
      </c>
      <c r="B71" s="104" t="s">
        <v>29</v>
      </c>
      <c r="C71" s="150">
        <v>30000</v>
      </c>
      <c r="D71" s="150">
        <v>15970</v>
      </c>
      <c r="E71" s="150">
        <v>15000</v>
      </c>
      <c r="F71" s="151">
        <f t="shared" si="6"/>
        <v>30970</v>
      </c>
    </row>
    <row r="72" spans="1:6" ht="18" customHeight="1" x14ac:dyDescent="0.2">
      <c r="A72" s="138">
        <v>13</v>
      </c>
      <c r="B72" s="63" t="s">
        <v>30</v>
      </c>
      <c r="C72" s="146">
        <v>7500</v>
      </c>
      <c r="D72" s="146">
        <v>4118</v>
      </c>
      <c r="E72" s="146">
        <v>4050</v>
      </c>
      <c r="F72" s="147">
        <f t="shared" si="6"/>
        <v>8168</v>
      </c>
    </row>
    <row r="73" spans="1:6" ht="18" customHeight="1" x14ac:dyDescent="0.2">
      <c r="A73" s="138">
        <v>14</v>
      </c>
      <c r="B73" s="63" t="s">
        <v>31</v>
      </c>
      <c r="C73" s="146">
        <v>0</v>
      </c>
      <c r="D73" s="146">
        <v>0</v>
      </c>
      <c r="E73" s="146">
        <v>0</v>
      </c>
      <c r="F73" s="147">
        <f t="shared" si="6"/>
        <v>0</v>
      </c>
    </row>
    <row r="74" spans="1:6" ht="18" customHeight="1" x14ac:dyDescent="0.2">
      <c r="A74" s="138">
        <v>15</v>
      </c>
      <c r="B74" s="63" t="s">
        <v>32</v>
      </c>
      <c r="C74" s="146">
        <v>0</v>
      </c>
      <c r="D74" s="146">
        <v>0</v>
      </c>
      <c r="E74" s="146">
        <v>0</v>
      </c>
      <c r="F74" s="147">
        <f t="shared" si="6"/>
        <v>0</v>
      </c>
    </row>
    <row r="75" spans="1:6" ht="18" customHeight="1" x14ac:dyDescent="0.2">
      <c r="A75" s="138">
        <v>16</v>
      </c>
      <c r="B75" s="63" t="s">
        <v>41</v>
      </c>
      <c r="C75" s="146">
        <v>0</v>
      </c>
      <c r="D75" s="146">
        <v>0</v>
      </c>
      <c r="E75" s="146">
        <v>0</v>
      </c>
      <c r="F75" s="147">
        <f t="shared" si="6"/>
        <v>0</v>
      </c>
    </row>
    <row r="76" spans="1:6" ht="18" customHeight="1" x14ac:dyDescent="0.2">
      <c r="A76" s="138">
        <v>17</v>
      </c>
      <c r="B76" s="63" t="s">
        <v>42</v>
      </c>
      <c r="C76" s="146">
        <v>0</v>
      </c>
      <c r="D76" s="146">
        <v>0</v>
      </c>
      <c r="E76" s="146">
        <v>0</v>
      </c>
      <c r="F76" s="147">
        <f t="shared" si="6"/>
        <v>0</v>
      </c>
    </row>
    <row r="77" spans="1:6" ht="18" customHeight="1" x14ac:dyDescent="0.2">
      <c r="A77" s="138">
        <v>18</v>
      </c>
      <c r="B77" s="63" t="s">
        <v>49</v>
      </c>
      <c r="C77" s="146">
        <v>0</v>
      </c>
      <c r="D77" s="146">
        <v>0</v>
      </c>
      <c r="E77" s="146">
        <v>0</v>
      </c>
      <c r="F77" s="147">
        <f t="shared" si="6"/>
        <v>0</v>
      </c>
    </row>
    <row r="78" spans="1:6" ht="18" customHeight="1" x14ac:dyDescent="0.2">
      <c r="A78" s="138">
        <v>19</v>
      </c>
      <c r="B78" s="63" t="s">
        <v>33</v>
      </c>
      <c r="C78" s="146">
        <v>0</v>
      </c>
      <c r="D78" s="146">
        <v>0</v>
      </c>
      <c r="E78" s="146">
        <v>0</v>
      </c>
      <c r="F78" s="147">
        <f t="shared" si="6"/>
        <v>0</v>
      </c>
    </row>
    <row r="79" spans="1:6" ht="18" customHeight="1" x14ac:dyDescent="0.2">
      <c r="A79" s="138">
        <v>20</v>
      </c>
      <c r="B79" s="63" t="s">
        <v>34</v>
      </c>
      <c r="C79" s="146">
        <v>0</v>
      </c>
      <c r="D79" s="146">
        <v>0</v>
      </c>
      <c r="E79" s="146">
        <v>0</v>
      </c>
      <c r="F79" s="147">
        <f t="shared" si="6"/>
        <v>0</v>
      </c>
    </row>
    <row r="80" spans="1:6" ht="18" customHeight="1" thickBot="1" x14ac:dyDescent="0.25">
      <c r="A80" s="168">
        <v>21</v>
      </c>
      <c r="B80" s="162" t="s">
        <v>35</v>
      </c>
      <c r="C80" s="178">
        <v>0</v>
      </c>
      <c r="D80" s="178">
        <v>0</v>
      </c>
      <c r="E80" s="178">
        <v>0</v>
      </c>
      <c r="F80" s="149">
        <f t="shared" si="6"/>
        <v>0</v>
      </c>
    </row>
    <row r="81" spans="1:6" ht="25.15" customHeight="1" thickBot="1" x14ac:dyDescent="0.25">
      <c r="A81" s="195">
        <v>22</v>
      </c>
      <c r="B81" s="103" t="s">
        <v>36</v>
      </c>
      <c r="C81" s="152">
        <f>SUM(C71:C80)</f>
        <v>37500</v>
      </c>
      <c r="D81" s="152">
        <f>SUM(D71:D80)</f>
        <v>20088</v>
      </c>
      <c r="E81" s="152">
        <f>SUM(E71:E80)</f>
        <v>19050</v>
      </c>
      <c r="F81" s="154">
        <f t="shared" si="6"/>
        <v>39138</v>
      </c>
    </row>
    <row r="82" spans="1:6" ht="18" customHeight="1" thickBot="1" x14ac:dyDescent="0.25">
      <c r="A82" s="170">
        <v>23</v>
      </c>
      <c r="B82" s="165" t="s">
        <v>37</v>
      </c>
      <c r="C82" s="180">
        <v>0</v>
      </c>
      <c r="D82" s="180">
        <v>23</v>
      </c>
      <c r="E82" s="180">
        <v>626</v>
      </c>
      <c r="F82" s="182">
        <f t="shared" si="6"/>
        <v>649</v>
      </c>
    </row>
    <row r="83" spans="1:6" ht="25.15" customHeight="1" thickBot="1" x14ac:dyDescent="0.25">
      <c r="A83" s="195">
        <v>24</v>
      </c>
      <c r="B83" s="103" t="s">
        <v>60</v>
      </c>
      <c r="C83" s="152">
        <f>SUM(C81:C82)</f>
        <v>37500</v>
      </c>
      <c r="D83" s="152">
        <f>SUM(D81:D82)</f>
        <v>20111</v>
      </c>
      <c r="E83" s="152">
        <f>SUM(E81:E82)</f>
        <v>19676</v>
      </c>
      <c r="F83" s="154">
        <f t="shared" si="6"/>
        <v>39787</v>
      </c>
    </row>
    <row r="84" spans="1:6" x14ac:dyDescent="0.2">
      <c r="A84" s="174"/>
      <c r="B84" s="174"/>
      <c r="C84" s="174"/>
      <c r="D84" s="174"/>
      <c r="E84" s="174"/>
      <c r="F84" s="174"/>
    </row>
    <row r="85" spans="1:6" ht="13.9" customHeight="1" x14ac:dyDescent="0.2">
      <c r="A85" s="1716" t="s">
        <v>523</v>
      </c>
      <c r="B85" s="1716"/>
      <c r="C85" s="1716"/>
      <c r="D85" s="1716"/>
      <c r="E85" s="1716"/>
      <c r="F85" s="1716"/>
    </row>
    <row r="86" spans="1:6" ht="15.75" thickBot="1" x14ac:dyDescent="0.25">
      <c r="A86" s="157"/>
      <c r="B86" s="175"/>
      <c r="C86" s="175"/>
      <c r="D86" s="175"/>
      <c r="E86" s="175"/>
      <c r="F86" s="175"/>
    </row>
    <row r="87" spans="1:6" ht="45.6" customHeight="1" thickBot="1" x14ac:dyDescent="0.25">
      <c r="A87" s="176"/>
      <c r="B87" s="602" t="s">
        <v>111</v>
      </c>
      <c r="C87" s="602" t="s">
        <v>15</v>
      </c>
      <c r="D87" s="602" t="s">
        <v>479</v>
      </c>
      <c r="E87" s="602" t="s">
        <v>524</v>
      </c>
      <c r="F87" s="603" t="s">
        <v>177</v>
      </c>
    </row>
    <row r="88" spans="1:6" ht="18" customHeight="1" x14ac:dyDescent="0.2">
      <c r="A88" s="141">
        <v>1</v>
      </c>
      <c r="B88" s="104" t="s">
        <v>18</v>
      </c>
      <c r="C88" s="150">
        <v>422089</v>
      </c>
      <c r="D88" s="150">
        <v>344045</v>
      </c>
      <c r="E88" s="150">
        <v>78044</v>
      </c>
      <c r="F88" s="151">
        <f>SUM(D88:E88)</f>
        <v>422089</v>
      </c>
    </row>
    <row r="89" spans="1:6" ht="18" customHeight="1" x14ac:dyDescent="0.2">
      <c r="A89" s="138">
        <v>2</v>
      </c>
      <c r="B89" s="63" t="s">
        <v>19</v>
      </c>
      <c r="C89" s="146">
        <v>0</v>
      </c>
      <c r="D89" s="146"/>
      <c r="E89" s="146">
        <f>SUM(B89:C89)</f>
        <v>0</v>
      </c>
      <c r="F89" s="147">
        <f>SUM(C89:D89)</f>
        <v>0</v>
      </c>
    </row>
    <row r="90" spans="1:6" ht="18" customHeight="1" x14ac:dyDescent="0.2">
      <c r="A90" s="138">
        <v>3</v>
      </c>
      <c r="B90" s="63" t="s">
        <v>20</v>
      </c>
      <c r="C90" s="146">
        <v>58708</v>
      </c>
      <c r="D90" s="146">
        <v>47853</v>
      </c>
      <c r="E90" s="146">
        <v>10855</v>
      </c>
      <c r="F90" s="151">
        <f>SUM(D90:E90)</f>
        <v>58708</v>
      </c>
    </row>
    <row r="91" spans="1:6" ht="18" customHeight="1" x14ac:dyDescent="0.2">
      <c r="A91" s="138">
        <v>4</v>
      </c>
      <c r="B91" s="63" t="s">
        <v>21</v>
      </c>
      <c r="C91" s="146">
        <v>0</v>
      </c>
      <c r="D91" s="146">
        <v>0</v>
      </c>
      <c r="E91" s="146">
        <f>SUM(B91:C91)</f>
        <v>0</v>
      </c>
      <c r="F91" s="147">
        <f>SUM(C91:D91)</f>
        <v>0</v>
      </c>
    </row>
    <row r="92" spans="1:6" ht="18" customHeight="1" x14ac:dyDescent="0.2">
      <c r="A92" s="138">
        <v>5</v>
      </c>
      <c r="B92" s="63" t="s">
        <v>22</v>
      </c>
      <c r="C92" s="146">
        <v>0</v>
      </c>
      <c r="D92" s="146">
        <v>0</v>
      </c>
      <c r="E92" s="146">
        <f t="shared" ref="E92:F95" si="7">SUM(B92:C92)</f>
        <v>0</v>
      </c>
      <c r="F92" s="147">
        <f t="shared" si="7"/>
        <v>0</v>
      </c>
    </row>
    <row r="93" spans="1:6" ht="18" customHeight="1" x14ac:dyDescent="0.2">
      <c r="A93" s="138">
        <v>6</v>
      </c>
      <c r="B93" s="63" t="s">
        <v>23</v>
      </c>
      <c r="C93" s="146">
        <v>0</v>
      </c>
      <c r="D93" s="146">
        <v>0</v>
      </c>
      <c r="E93" s="146">
        <f t="shared" si="7"/>
        <v>0</v>
      </c>
      <c r="F93" s="147">
        <f t="shared" si="7"/>
        <v>0</v>
      </c>
    </row>
    <row r="94" spans="1:6" ht="18" customHeight="1" x14ac:dyDescent="0.2">
      <c r="A94" s="138">
        <v>7</v>
      </c>
      <c r="B94" s="63" t="s">
        <v>24</v>
      </c>
      <c r="C94" s="146">
        <v>0</v>
      </c>
      <c r="D94" s="146">
        <v>0</v>
      </c>
      <c r="E94" s="146">
        <f t="shared" si="7"/>
        <v>0</v>
      </c>
      <c r="F94" s="147">
        <f t="shared" si="7"/>
        <v>0</v>
      </c>
    </row>
    <row r="95" spans="1:6" ht="18" customHeight="1" x14ac:dyDescent="0.2">
      <c r="A95" s="138">
        <v>8</v>
      </c>
      <c r="B95" s="63" t="s">
        <v>25</v>
      </c>
      <c r="C95" s="146">
        <v>0</v>
      </c>
      <c r="D95" s="146">
        <v>0</v>
      </c>
      <c r="E95" s="146">
        <f t="shared" si="7"/>
        <v>0</v>
      </c>
      <c r="F95" s="147">
        <f t="shared" si="7"/>
        <v>0</v>
      </c>
    </row>
    <row r="96" spans="1:6" ht="18" customHeight="1" x14ac:dyDescent="0.2">
      <c r="A96" s="138">
        <v>9</v>
      </c>
      <c r="B96" s="63" t="s">
        <v>26</v>
      </c>
      <c r="C96" s="146">
        <v>129815</v>
      </c>
      <c r="D96" s="146">
        <v>105812</v>
      </c>
      <c r="E96" s="146">
        <v>24003</v>
      </c>
      <c r="F96" s="151">
        <f>SUM(D96:E96)</f>
        <v>129815</v>
      </c>
    </row>
    <row r="97" spans="1:6" ht="18" customHeight="1" thickBot="1" x14ac:dyDescent="0.25">
      <c r="A97" s="168">
        <v>10</v>
      </c>
      <c r="B97" s="162" t="s">
        <v>27</v>
      </c>
      <c r="C97" s="178">
        <v>0</v>
      </c>
      <c r="D97" s="148"/>
      <c r="E97" s="148">
        <f>SUM(B97:C97)</f>
        <v>0</v>
      </c>
      <c r="F97" s="149">
        <f>SUM(C97:D97)</f>
        <v>0</v>
      </c>
    </row>
    <row r="98" spans="1:6" ht="25.15" customHeight="1" thickBot="1" x14ac:dyDescent="0.25">
      <c r="A98" s="195">
        <v>11</v>
      </c>
      <c r="B98" s="103" t="s">
        <v>28</v>
      </c>
      <c r="C98" s="152">
        <f>SUM(C88:C97)</f>
        <v>610612</v>
      </c>
      <c r="D98" s="152">
        <f>SUM(D88:D97)</f>
        <v>497710</v>
      </c>
      <c r="E98" s="152">
        <f>SUM(E88:E97)</f>
        <v>112902</v>
      </c>
      <c r="F98" s="154">
        <f>SUM(D98:E98)</f>
        <v>610612</v>
      </c>
    </row>
    <row r="99" spans="1:6" ht="18" customHeight="1" x14ac:dyDescent="0.2">
      <c r="A99" s="141">
        <v>12</v>
      </c>
      <c r="B99" s="104" t="s">
        <v>29</v>
      </c>
      <c r="C99" s="150">
        <v>480797</v>
      </c>
      <c r="D99" s="150">
        <v>391898</v>
      </c>
      <c r="E99" s="150">
        <v>88899</v>
      </c>
      <c r="F99" s="151">
        <f>SUM(D99:E99)</f>
        <v>480797</v>
      </c>
    </row>
    <row r="100" spans="1:6" ht="18" customHeight="1" x14ac:dyDescent="0.2">
      <c r="A100" s="138">
        <v>13</v>
      </c>
      <c r="B100" s="63" t="s">
        <v>30</v>
      </c>
      <c r="C100" s="146">
        <v>129815</v>
      </c>
      <c r="D100" s="146">
        <v>105812</v>
      </c>
      <c r="E100" s="146">
        <v>24003</v>
      </c>
      <c r="F100" s="151">
        <f>SUM(D100:E100)</f>
        <v>129815</v>
      </c>
    </row>
    <row r="101" spans="1:6" ht="18" customHeight="1" x14ac:dyDescent="0.2">
      <c r="A101" s="138">
        <v>14</v>
      </c>
      <c r="B101" s="63" t="s">
        <v>31</v>
      </c>
      <c r="C101" s="146">
        <v>0</v>
      </c>
      <c r="D101" s="146"/>
      <c r="E101" s="146">
        <f t="shared" ref="E101:F108" si="8">SUM(B101:C101)</f>
        <v>0</v>
      </c>
      <c r="F101" s="147">
        <f t="shared" si="8"/>
        <v>0</v>
      </c>
    </row>
    <row r="102" spans="1:6" ht="18" customHeight="1" x14ac:dyDescent="0.2">
      <c r="A102" s="138">
        <v>15</v>
      </c>
      <c r="B102" s="63" t="s">
        <v>32</v>
      </c>
      <c r="C102" s="146">
        <v>0</v>
      </c>
      <c r="D102" s="146"/>
      <c r="E102" s="146">
        <f t="shared" si="8"/>
        <v>0</v>
      </c>
      <c r="F102" s="147">
        <f t="shared" si="8"/>
        <v>0</v>
      </c>
    </row>
    <row r="103" spans="1:6" ht="18" customHeight="1" x14ac:dyDescent="0.2">
      <c r="A103" s="138">
        <v>16</v>
      </c>
      <c r="B103" s="63" t="s">
        <v>41</v>
      </c>
      <c r="C103" s="146">
        <v>0</v>
      </c>
      <c r="D103" s="146"/>
      <c r="E103" s="146">
        <f t="shared" si="8"/>
        <v>0</v>
      </c>
      <c r="F103" s="147">
        <f t="shared" si="8"/>
        <v>0</v>
      </c>
    </row>
    <row r="104" spans="1:6" ht="18" customHeight="1" x14ac:dyDescent="0.2">
      <c r="A104" s="138">
        <v>17</v>
      </c>
      <c r="B104" s="63" t="s">
        <v>42</v>
      </c>
      <c r="C104" s="146">
        <v>0</v>
      </c>
      <c r="D104" s="146"/>
      <c r="E104" s="146">
        <f t="shared" si="8"/>
        <v>0</v>
      </c>
      <c r="F104" s="147">
        <f t="shared" si="8"/>
        <v>0</v>
      </c>
    </row>
    <row r="105" spans="1:6" ht="18" customHeight="1" x14ac:dyDescent="0.2">
      <c r="A105" s="138">
        <v>18</v>
      </c>
      <c r="B105" s="63" t="s">
        <v>49</v>
      </c>
      <c r="C105" s="146">
        <v>0</v>
      </c>
      <c r="D105" s="146"/>
      <c r="E105" s="146">
        <f t="shared" si="8"/>
        <v>0</v>
      </c>
      <c r="F105" s="147">
        <f t="shared" si="8"/>
        <v>0</v>
      </c>
    </row>
    <row r="106" spans="1:6" ht="18" customHeight="1" x14ac:dyDescent="0.2">
      <c r="A106" s="138">
        <v>19</v>
      </c>
      <c r="B106" s="63" t="s">
        <v>33</v>
      </c>
      <c r="C106" s="146">
        <v>0</v>
      </c>
      <c r="D106" s="146"/>
      <c r="E106" s="146">
        <f t="shared" si="8"/>
        <v>0</v>
      </c>
      <c r="F106" s="147">
        <f t="shared" si="8"/>
        <v>0</v>
      </c>
    </row>
    <row r="107" spans="1:6" ht="18" customHeight="1" x14ac:dyDescent="0.2">
      <c r="A107" s="138">
        <v>20</v>
      </c>
      <c r="B107" s="63" t="s">
        <v>34</v>
      </c>
      <c r="C107" s="146">
        <v>0</v>
      </c>
      <c r="D107" s="146"/>
      <c r="E107" s="146">
        <f t="shared" si="8"/>
        <v>0</v>
      </c>
      <c r="F107" s="147">
        <f t="shared" si="8"/>
        <v>0</v>
      </c>
    </row>
    <row r="108" spans="1:6" ht="18" customHeight="1" thickBot="1" x14ac:dyDescent="0.25">
      <c r="A108" s="168">
        <v>21</v>
      </c>
      <c r="B108" s="162" t="s">
        <v>35</v>
      </c>
      <c r="C108" s="178">
        <v>0</v>
      </c>
      <c r="D108" s="148"/>
      <c r="E108" s="148">
        <f t="shared" si="8"/>
        <v>0</v>
      </c>
      <c r="F108" s="149">
        <f t="shared" si="8"/>
        <v>0</v>
      </c>
    </row>
    <row r="109" spans="1:6" ht="25.15" customHeight="1" thickBot="1" x14ac:dyDescent="0.25">
      <c r="A109" s="197">
        <v>22</v>
      </c>
      <c r="B109" s="103" t="s">
        <v>36</v>
      </c>
      <c r="C109" s="152">
        <f>SUM(C99:C108)</f>
        <v>610612</v>
      </c>
      <c r="D109" s="152">
        <f>SUM(D99:D108)</f>
        <v>497710</v>
      </c>
      <c r="E109" s="152">
        <f>SUM(E99:E108)</f>
        <v>112902</v>
      </c>
      <c r="F109" s="154">
        <f>SUM(D109:E109)</f>
        <v>610612</v>
      </c>
    </row>
    <row r="110" spans="1:6" ht="18" customHeight="1" thickBot="1" x14ac:dyDescent="0.25">
      <c r="A110" s="170">
        <v>23</v>
      </c>
      <c r="B110" s="165" t="s">
        <v>37</v>
      </c>
      <c r="C110" s="180">
        <v>0</v>
      </c>
      <c r="D110" s="180"/>
      <c r="E110" s="180">
        <f>SUM(B110:C110)</f>
        <v>0</v>
      </c>
      <c r="F110" s="182">
        <f>SUM(C110:D110)</f>
        <v>0</v>
      </c>
    </row>
    <row r="111" spans="1:6" ht="25.15" customHeight="1" thickBot="1" x14ac:dyDescent="0.25">
      <c r="A111" s="197">
        <v>24</v>
      </c>
      <c r="B111" s="103" t="s">
        <v>60</v>
      </c>
      <c r="C111" s="152">
        <f>SUM(C109:C110)</f>
        <v>610612</v>
      </c>
      <c r="D111" s="152">
        <f>SUM(D109:D110)</f>
        <v>497710</v>
      </c>
      <c r="E111" s="152">
        <v>112902</v>
      </c>
      <c r="F111" s="154">
        <f>SUM(D111:E111)</f>
        <v>610612</v>
      </c>
    </row>
    <row r="113" spans="1:6" ht="21.6" customHeight="1" thickBot="1" x14ac:dyDescent="0.25">
      <c r="A113" s="1715" t="s">
        <v>525</v>
      </c>
      <c r="B113" s="1715"/>
      <c r="C113" s="1715"/>
      <c r="D113" s="1715"/>
      <c r="E113" s="1715"/>
      <c r="F113" s="1715"/>
    </row>
    <row r="114" spans="1:6" ht="46.15" customHeight="1" thickBot="1" x14ac:dyDescent="0.25">
      <c r="A114" s="176"/>
      <c r="B114" s="602" t="s">
        <v>111</v>
      </c>
      <c r="C114" s="602" t="s">
        <v>15</v>
      </c>
      <c r="D114" s="602" t="s">
        <v>479</v>
      </c>
      <c r="E114" s="603" t="s">
        <v>177</v>
      </c>
    </row>
    <row r="115" spans="1:6" ht="18" customHeight="1" x14ac:dyDescent="0.2">
      <c r="A115" s="141">
        <v>1</v>
      </c>
      <c r="B115" s="104" t="s">
        <v>18</v>
      </c>
      <c r="C115" s="150">
        <v>25208</v>
      </c>
      <c r="D115" s="150">
        <v>25208</v>
      </c>
      <c r="E115" s="151">
        <v>25208</v>
      </c>
    </row>
    <row r="116" spans="1:6" ht="18" customHeight="1" x14ac:dyDescent="0.2">
      <c r="A116" s="138">
        <v>2</v>
      </c>
      <c r="B116" s="63" t="s">
        <v>19</v>
      </c>
      <c r="C116" s="146">
        <v>0</v>
      </c>
      <c r="D116" s="146">
        <v>0</v>
      </c>
      <c r="E116" s="147">
        <f t="shared" ref="E116:E137" si="9">SUM(C116:D116)</f>
        <v>0</v>
      </c>
    </row>
    <row r="117" spans="1:6" ht="18" customHeight="1" x14ac:dyDescent="0.2">
      <c r="A117" s="138">
        <v>3</v>
      </c>
      <c r="B117" s="63" t="s">
        <v>20</v>
      </c>
      <c r="C117" s="146">
        <v>0</v>
      </c>
      <c r="D117" s="146">
        <v>0</v>
      </c>
      <c r="E117" s="147">
        <f t="shared" si="9"/>
        <v>0</v>
      </c>
    </row>
    <row r="118" spans="1:6" ht="18" customHeight="1" x14ac:dyDescent="0.2">
      <c r="A118" s="138">
        <v>4</v>
      </c>
      <c r="B118" s="63" t="s">
        <v>21</v>
      </c>
      <c r="C118" s="146">
        <v>0</v>
      </c>
      <c r="D118" s="146">
        <v>0</v>
      </c>
      <c r="E118" s="147">
        <f t="shared" si="9"/>
        <v>0</v>
      </c>
    </row>
    <row r="119" spans="1:6" ht="18" customHeight="1" x14ac:dyDescent="0.2">
      <c r="A119" s="138">
        <v>5</v>
      </c>
      <c r="B119" s="63" t="s">
        <v>22</v>
      </c>
      <c r="C119" s="146">
        <v>0</v>
      </c>
      <c r="D119" s="146">
        <v>0</v>
      </c>
      <c r="E119" s="147">
        <f t="shared" si="9"/>
        <v>0</v>
      </c>
    </row>
    <row r="120" spans="1:6" ht="18" customHeight="1" x14ac:dyDescent="0.2">
      <c r="A120" s="138">
        <v>6</v>
      </c>
      <c r="B120" s="63" t="s">
        <v>23</v>
      </c>
      <c r="C120" s="146">
        <v>0</v>
      </c>
      <c r="D120" s="146">
        <v>0</v>
      </c>
      <c r="E120" s="147">
        <f t="shared" si="9"/>
        <v>0</v>
      </c>
    </row>
    <row r="121" spans="1:6" ht="18" customHeight="1" x14ac:dyDescent="0.2">
      <c r="A121" s="138">
        <v>7</v>
      </c>
      <c r="B121" s="63" t="s">
        <v>24</v>
      </c>
      <c r="C121" s="146">
        <v>0</v>
      </c>
      <c r="D121" s="146">
        <v>0</v>
      </c>
      <c r="E121" s="147">
        <f t="shared" si="9"/>
        <v>0</v>
      </c>
    </row>
    <row r="122" spans="1:6" ht="18" customHeight="1" x14ac:dyDescent="0.2">
      <c r="A122" s="138">
        <v>8</v>
      </c>
      <c r="B122" s="63" t="s">
        <v>25</v>
      </c>
      <c r="C122" s="146">
        <v>0</v>
      </c>
      <c r="D122" s="146">
        <v>0</v>
      </c>
      <c r="E122" s="147">
        <f t="shared" si="9"/>
        <v>0</v>
      </c>
    </row>
    <row r="123" spans="1:6" ht="18" customHeight="1" x14ac:dyDescent="0.2">
      <c r="A123" s="138">
        <v>9</v>
      </c>
      <c r="B123" s="63" t="s">
        <v>26</v>
      </c>
      <c r="C123" s="146">
        <v>0</v>
      </c>
      <c r="D123" s="146">
        <v>0</v>
      </c>
      <c r="E123" s="147">
        <v>0</v>
      </c>
    </row>
    <row r="124" spans="1:6" ht="18" customHeight="1" thickBot="1" x14ac:dyDescent="0.25">
      <c r="A124" s="168">
        <v>10</v>
      </c>
      <c r="B124" s="162" t="s">
        <v>27</v>
      </c>
      <c r="C124" s="178">
        <v>0</v>
      </c>
      <c r="D124" s="178">
        <v>0</v>
      </c>
      <c r="E124" s="149">
        <f t="shared" si="9"/>
        <v>0</v>
      </c>
    </row>
    <row r="125" spans="1:6" ht="25.15" customHeight="1" thickBot="1" x14ac:dyDescent="0.25">
      <c r="A125" s="195">
        <v>11</v>
      </c>
      <c r="B125" s="103" t="s">
        <v>28</v>
      </c>
      <c r="C125" s="152">
        <f>SUM(C115:C124)</f>
        <v>25208</v>
      </c>
      <c r="D125" s="152">
        <f>SUM(D115:D123)</f>
        <v>25208</v>
      </c>
      <c r="E125" s="154">
        <f>SUM(E115:E123)</f>
        <v>25208</v>
      </c>
    </row>
    <row r="126" spans="1:6" ht="18" customHeight="1" x14ac:dyDescent="0.2">
      <c r="A126" s="141">
        <v>12</v>
      </c>
      <c r="B126" s="104" t="s">
        <v>29</v>
      </c>
      <c r="C126" s="150">
        <v>19848</v>
      </c>
      <c r="D126" s="150">
        <v>19848</v>
      </c>
      <c r="E126" s="151">
        <v>19848</v>
      </c>
    </row>
    <row r="127" spans="1:6" ht="18" customHeight="1" x14ac:dyDescent="0.2">
      <c r="A127" s="138">
        <v>13</v>
      </c>
      <c r="B127" s="63" t="s">
        <v>30</v>
      </c>
      <c r="C127" s="146">
        <v>5360</v>
      </c>
      <c r="D127" s="146">
        <v>5360</v>
      </c>
      <c r="E127" s="147">
        <v>5360</v>
      </c>
    </row>
    <row r="128" spans="1:6" ht="18" customHeight="1" x14ac:dyDescent="0.2">
      <c r="A128" s="138">
        <v>14</v>
      </c>
      <c r="B128" s="63" t="s">
        <v>31</v>
      </c>
      <c r="C128" s="146">
        <v>0</v>
      </c>
      <c r="D128" s="146">
        <v>0</v>
      </c>
      <c r="E128" s="147">
        <f t="shared" si="9"/>
        <v>0</v>
      </c>
    </row>
    <row r="129" spans="1:5" ht="18" customHeight="1" x14ac:dyDescent="0.2">
      <c r="A129" s="138">
        <v>15</v>
      </c>
      <c r="B129" s="63" t="s">
        <v>32</v>
      </c>
      <c r="C129" s="146">
        <v>0</v>
      </c>
      <c r="D129" s="146">
        <v>0</v>
      </c>
      <c r="E129" s="147">
        <f t="shared" si="9"/>
        <v>0</v>
      </c>
    </row>
    <row r="130" spans="1:5" ht="18" customHeight="1" x14ac:dyDescent="0.2">
      <c r="A130" s="138">
        <v>16</v>
      </c>
      <c r="B130" s="63" t="s">
        <v>41</v>
      </c>
      <c r="C130" s="146">
        <v>0</v>
      </c>
      <c r="D130" s="146">
        <v>0</v>
      </c>
      <c r="E130" s="147">
        <f t="shared" si="9"/>
        <v>0</v>
      </c>
    </row>
    <row r="131" spans="1:5" ht="18" customHeight="1" x14ac:dyDescent="0.2">
      <c r="A131" s="138">
        <v>17</v>
      </c>
      <c r="B131" s="63" t="s">
        <v>42</v>
      </c>
      <c r="C131" s="146">
        <v>0</v>
      </c>
      <c r="D131" s="146">
        <v>0</v>
      </c>
      <c r="E131" s="147">
        <f t="shared" si="9"/>
        <v>0</v>
      </c>
    </row>
    <row r="132" spans="1:5" ht="18" customHeight="1" x14ac:dyDescent="0.2">
      <c r="A132" s="138">
        <v>18</v>
      </c>
      <c r="B132" s="63" t="s">
        <v>49</v>
      </c>
      <c r="C132" s="146">
        <v>0</v>
      </c>
      <c r="D132" s="146">
        <v>0</v>
      </c>
      <c r="E132" s="147">
        <f t="shared" si="9"/>
        <v>0</v>
      </c>
    </row>
    <row r="133" spans="1:5" ht="18" customHeight="1" x14ac:dyDescent="0.2">
      <c r="A133" s="138">
        <v>19</v>
      </c>
      <c r="B133" s="63" t="s">
        <v>33</v>
      </c>
      <c r="C133" s="146">
        <v>0</v>
      </c>
      <c r="D133" s="146">
        <v>0</v>
      </c>
      <c r="E133" s="147">
        <f t="shared" si="9"/>
        <v>0</v>
      </c>
    </row>
    <row r="134" spans="1:5" ht="18" customHeight="1" x14ac:dyDescent="0.2">
      <c r="A134" s="138">
        <v>20</v>
      </c>
      <c r="B134" s="63" t="s">
        <v>34</v>
      </c>
      <c r="C134" s="146">
        <v>0</v>
      </c>
      <c r="D134" s="146">
        <v>0</v>
      </c>
      <c r="E134" s="147">
        <f t="shared" si="9"/>
        <v>0</v>
      </c>
    </row>
    <row r="135" spans="1:5" ht="18" customHeight="1" thickBot="1" x14ac:dyDescent="0.25">
      <c r="A135" s="168">
        <v>21</v>
      </c>
      <c r="B135" s="162" t="s">
        <v>35</v>
      </c>
      <c r="C135" s="178">
        <v>0</v>
      </c>
      <c r="D135" s="178">
        <v>0</v>
      </c>
      <c r="E135" s="149">
        <f t="shared" si="9"/>
        <v>0</v>
      </c>
    </row>
    <row r="136" spans="1:5" ht="25.15" customHeight="1" thickBot="1" x14ac:dyDescent="0.25">
      <c r="A136" s="195">
        <v>22</v>
      </c>
      <c r="B136" s="103" t="s">
        <v>36</v>
      </c>
      <c r="C136" s="152">
        <f>SUM(C126:C135)</f>
        <v>25208</v>
      </c>
      <c r="D136" s="152">
        <f>SUM(D126:D135)</f>
        <v>25208</v>
      </c>
      <c r="E136" s="154">
        <f>SUM(E126:E135)</f>
        <v>25208</v>
      </c>
    </row>
    <row r="137" spans="1:5" ht="18" customHeight="1" thickBot="1" x14ac:dyDescent="0.25">
      <c r="A137" s="170">
        <v>23</v>
      </c>
      <c r="B137" s="165" t="s">
        <v>37</v>
      </c>
      <c r="C137" s="180">
        <v>0</v>
      </c>
      <c r="D137" s="180">
        <v>0</v>
      </c>
      <c r="E137" s="182">
        <f t="shared" si="9"/>
        <v>0</v>
      </c>
    </row>
    <row r="138" spans="1:5" ht="25.15" customHeight="1" thickBot="1" x14ac:dyDescent="0.25">
      <c r="A138" s="195">
        <v>24</v>
      </c>
      <c r="B138" s="103" t="s">
        <v>60</v>
      </c>
      <c r="C138" s="152">
        <f>SUM(C136:C137)</f>
        <v>25208</v>
      </c>
      <c r="D138" s="152">
        <f>SUM(D136:D137)</f>
        <v>25208</v>
      </c>
      <c r="E138" s="154">
        <f>SUM(E136:E137)</f>
        <v>25208</v>
      </c>
    </row>
  </sheetData>
  <mergeCells count="6">
    <mergeCell ref="A113:F113"/>
    <mergeCell ref="A85:F85"/>
    <mergeCell ref="A1:J1"/>
    <mergeCell ref="B3:E3"/>
    <mergeCell ref="A30:F30"/>
    <mergeCell ref="A57:F57"/>
  </mergeCells>
  <phoneticPr fontId="13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54" fitToHeight="2" orientation="portrait" r:id="rId1"/>
  <headerFooter>
    <oddHeader>&amp;L&amp;"Arial,Dőlt"&amp;11 &amp;U11. melléklet a 3/2014. (II.15.) önkormányzati rendelethez</oddHeader>
    <oddFooter>&amp;C&amp;11Nagykőrös Város Önkormányzat 2014. évi költségvetési rendeletének I. sz. módosítása</oddFooter>
  </headerFooter>
  <rowBreaks count="3" manualBreakCount="3">
    <brk id="56" max="9" man="1"/>
    <brk id="84" max="9" man="1"/>
    <brk id="112" max="9" man="1"/>
  </row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41"/>
  <sheetViews>
    <sheetView view="pageLayout" zoomScaleNormal="100" zoomScaleSheetLayoutView="80" workbookViewId="0">
      <selection activeCell="O14" sqref="O14"/>
    </sheetView>
  </sheetViews>
  <sheetFormatPr defaultColWidth="9.140625" defaultRowHeight="15" x14ac:dyDescent="0.25"/>
  <cols>
    <col min="1" max="1" width="6.140625" style="204" customWidth="1"/>
    <col min="2" max="2" width="62.7109375" style="64" customWidth="1"/>
    <col min="3" max="3" width="14.7109375" style="206" customWidth="1"/>
    <col min="4" max="4" width="15.85546875" style="206" hidden="1" customWidth="1"/>
    <col min="5" max="6" width="14.7109375" style="206" hidden="1" customWidth="1"/>
    <col min="7" max="9" width="14.7109375" style="206" customWidth="1"/>
    <col min="10" max="12" width="14.7109375" style="64" customWidth="1"/>
    <col min="13" max="13" width="13.7109375" style="64" customWidth="1"/>
    <col min="14" max="16384" width="9.140625" style="64"/>
  </cols>
  <sheetData>
    <row r="1" spans="1:13" ht="22.5" customHeight="1" x14ac:dyDescent="0.25"/>
    <row r="2" spans="1:13" s="198" customFormat="1" ht="39.75" customHeight="1" x14ac:dyDescent="0.2">
      <c r="A2" s="1727" t="s">
        <v>453</v>
      </c>
      <c r="B2" s="1727"/>
      <c r="C2" s="1727"/>
      <c r="D2" s="1727"/>
      <c r="E2" s="1727"/>
      <c r="F2" s="1727"/>
      <c r="G2" s="1727"/>
      <c r="H2" s="1727"/>
      <c r="I2" s="1727"/>
      <c r="J2" s="1727"/>
      <c r="K2" s="1727"/>
      <c r="L2" s="1727"/>
    </row>
    <row r="3" spans="1:13" ht="20.45" customHeight="1" thickBot="1" x14ac:dyDescent="0.3">
      <c r="A3" s="1726" t="s">
        <v>156</v>
      </c>
      <c r="B3" s="1726"/>
      <c r="C3" s="64"/>
      <c r="D3" s="64"/>
      <c r="E3" s="64"/>
      <c r="F3" s="64"/>
      <c r="G3" s="64"/>
      <c r="H3" s="64"/>
      <c r="I3" s="64"/>
    </row>
    <row r="4" spans="1:13" s="544" customFormat="1" ht="49.5" customHeight="1" thickBot="1" x14ac:dyDescent="0.3">
      <c r="A4" s="539" t="s">
        <v>137</v>
      </c>
      <c r="B4" s="540" t="s">
        <v>111</v>
      </c>
      <c r="C4" s="541" t="s">
        <v>289</v>
      </c>
      <c r="D4" s="541" t="s">
        <v>830</v>
      </c>
      <c r="E4" s="541" t="s">
        <v>884</v>
      </c>
      <c r="F4" s="541" t="s">
        <v>889</v>
      </c>
      <c r="G4" s="541" t="s">
        <v>932</v>
      </c>
      <c r="H4" s="541" t="s">
        <v>889</v>
      </c>
      <c r="I4" s="541" t="s">
        <v>880</v>
      </c>
      <c r="J4" s="542" t="s">
        <v>325</v>
      </c>
      <c r="K4" s="542" t="s">
        <v>326</v>
      </c>
      <c r="L4" s="543" t="s">
        <v>308</v>
      </c>
    </row>
    <row r="5" spans="1:13" s="544" customFormat="1" ht="46.9" customHeight="1" thickBot="1" x14ac:dyDescent="0.3">
      <c r="A5" s="545" t="s">
        <v>202</v>
      </c>
      <c r="B5" s="530" t="s">
        <v>158</v>
      </c>
      <c r="C5" s="507">
        <f t="shared" ref="C5:J5" si="0">C6+C7+C12+C13++C15+C16+C18+C14+C17</f>
        <v>45200</v>
      </c>
      <c r="D5" s="507">
        <f t="shared" si="0"/>
        <v>3030</v>
      </c>
      <c r="E5" s="507">
        <v>47565</v>
      </c>
      <c r="F5" s="507">
        <f>F6+F7+F12+F13++F15+F16+F18+F14+F17+F19</f>
        <v>5418</v>
      </c>
      <c r="G5" s="507">
        <f>G6+G7+G12+G13++G15+G16+G18+G14+G17+G19</f>
        <v>52983</v>
      </c>
      <c r="H5" s="507">
        <f>H6+H7+H12+H13++H15+H16+H18+H14+H17+H19</f>
        <v>0</v>
      </c>
      <c r="I5" s="507">
        <f>I6+I7+I12+I13++I15+I16+I18+I14+I17+I19</f>
        <v>52983</v>
      </c>
      <c r="J5" s="507">
        <f t="shared" si="0"/>
        <v>0</v>
      </c>
      <c r="K5" s="507">
        <f>K6+K7+K12+K13++K15+K16+K18+K14+K17+K19</f>
        <v>52983</v>
      </c>
      <c r="L5" s="546"/>
      <c r="M5" s="1044">
        <f>J5+K5+L5</f>
        <v>52983</v>
      </c>
    </row>
    <row r="6" spans="1:13" s="544" customFormat="1" ht="33.6" customHeight="1" x14ac:dyDescent="0.25">
      <c r="A6" s="547" t="s">
        <v>61</v>
      </c>
      <c r="B6" s="548" t="s">
        <v>356</v>
      </c>
      <c r="C6" s="549">
        <v>15000</v>
      </c>
      <c r="D6" s="549"/>
      <c r="E6" s="549">
        <f>C6+D6</f>
        <v>15000</v>
      </c>
      <c r="F6" s="549">
        <v>5000</v>
      </c>
      <c r="G6" s="549">
        <f>E6+F6</f>
        <v>20000</v>
      </c>
      <c r="H6" s="549"/>
      <c r="I6" s="549">
        <f t="shared" ref="I6:I19" si="1">G6+H6</f>
        <v>20000</v>
      </c>
      <c r="J6" s="550"/>
      <c r="K6" s="549">
        <v>20000</v>
      </c>
      <c r="L6" s="551"/>
      <c r="M6" s="1044">
        <f t="shared" ref="M6:M27" si="2">J6+K6+L6</f>
        <v>20000</v>
      </c>
    </row>
    <row r="7" spans="1:13" s="544" customFormat="1" ht="33.6" customHeight="1" x14ac:dyDescent="0.25">
      <c r="A7" s="552" t="s">
        <v>62</v>
      </c>
      <c r="B7" s="553" t="s">
        <v>159</v>
      </c>
      <c r="C7" s="508">
        <f>SUM(C8:C11)</f>
        <v>4600</v>
      </c>
      <c r="D7" s="508">
        <f>SUM(D8:D11)</f>
        <v>666</v>
      </c>
      <c r="E7" s="508">
        <v>5251</v>
      </c>
      <c r="F7" s="508"/>
      <c r="G7" s="549">
        <f t="shared" ref="G7:G18" si="3">E7+F7</f>
        <v>5251</v>
      </c>
      <c r="H7" s="549">
        <f>SUM(H8:H11)</f>
        <v>0</v>
      </c>
      <c r="I7" s="549">
        <f t="shared" si="1"/>
        <v>5251</v>
      </c>
      <c r="J7" s="508">
        <f>SUM(J8:J10)</f>
        <v>0</v>
      </c>
      <c r="K7" s="508">
        <f>SUM(K8:K11)</f>
        <v>5251</v>
      </c>
      <c r="L7" s="554"/>
      <c r="M7" s="1044">
        <f t="shared" si="2"/>
        <v>5251</v>
      </c>
    </row>
    <row r="8" spans="1:13" s="561" customFormat="1" ht="27" customHeight="1" x14ac:dyDescent="0.25">
      <c r="A8" s="555" t="s">
        <v>160</v>
      </c>
      <c r="B8" s="556" t="s">
        <v>161</v>
      </c>
      <c r="C8" s="557">
        <v>3000</v>
      </c>
      <c r="D8" s="557">
        <v>666</v>
      </c>
      <c r="E8" s="557">
        <f>C8+D8</f>
        <v>3666</v>
      </c>
      <c r="F8" s="557"/>
      <c r="G8" s="1299">
        <f t="shared" si="3"/>
        <v>3666</v>
      </c>
      <c r="H8" s="1533"/>
      <c r="I8" s="549">
        <f t="shared" si="1"/>
        <v>3666</v>
      </c>
      <c r="J8" s="558"/>
      <c r="K8" s="559">
        <f>3000+D8</f>
        <v>3666</v>
      </c>
      <c r="L8" s="560"/>
      <c r="M8" s="1300">
        <f t="shared" si="2"/>
        <v>3666</v>
      </c>
    </row>
    <row r="9" spans="1:13" s="561" customFormat="1" ht="27" customHeight="1" x14ac:dyDescent="0.25">
      <c r="A9" s="562" t="s">
        <v>162</v>
      </c>
      <c r="B9" s="563" t="s">
        <v>473</v>
      </c>
      <c r="C9" s="564">
        <v>1450</v>
      </c>
      <c r="D9" s="804"/>
      <c r="E9" s="564">
        <f>C9+D9</f>
        <v>1450</v>
      </c>
      <c r="F9" s="564"/>
      <c r="G9" s="1301">
        <f t="shared" si="3"/>
        <v>1450</v>
      </c>
      <c r="H9" s="1301"/>
      <c r="I9" s="549">
        <f t="shared" si="1"/>
        <v>1450</v>
      </c>
      <c r="J9" s="565"/>
      <c r="K9" s="566">
        <v>1450</v>
      </c>
      <c r="L9" s="567"/>
      <c r="M9" s="1300">
        <f t="shared" si="2"/>
        <v>1450</v>
      </c>
    </row>
    <row r="10" spans="1:13" s="561" customFormat="1" ht="27" customHeight="1" x14ac:dyDescent="0.25">
      <c r="A10" s="568" t="s">
        <v>163</v>
      </c>
      <c r="B10" s="563" t="s">
        <v>165</v>
      </c>
      <c r="C10" s="564">
        <v>100</v>
      </c>
      <c r="D10" s="564"/>
      <c r="E10" s="564">
        <v>85</v>
      </c>
      <c r="F10" s="564"/>
      <c r="G10" s="1302">
        <f t="shared" si="3"/>
        <v>85</v>
      </c>
      <c r="H10" s="1534"/>
      <c r="I10" s="549">
        <f t="shared" si="1"/>
        <v>85</v>
      </c>
      <c r="J10" s="565"/>
      <c r="K10" s="564">
        <v>85</v>
      </c>
      <c r="L10" s="567"/>
      <c r="M10" s="1300">
        <f t="shared" si="2"/>
        <v>85</v>
      </c>
    </row>
    <row r="11" spans="1:13" s="561" customFormat="1" ht="27" customHeight="1" x14ac:dyDescent="0.25">
      <c r="A11" s="569" t="s">
        <v>164</v>
      </c>
      <c r="B11" s="570" t="s">
        <v>290</v>
      </c>
      <c r="C11" s="571">
        <v>50</v>
      </c>
      <c r="D11" s="571"/>
      <c r="E11" s="566">
        <f>C11+D11</f>
        <v>50</v>
      </c>
      <c r="F11" s="566"/>
      <c r="G11" s="1303">
        <f t="shared" si="3"/>
        <v>50</v>
      </c>
      <c r="H11" s="1303"/>
      <c r="I11" s="549">
        <f t="shared" si="1"/>
        <v>50</v>
      </c>
      <c r="J11" s="572"/>
      <c r="K11" s="571">
        <v>50</v>
      </c>
      <c r="L11" s="573"/>
      <c r="M11" s="1300">
        <f t="shared" si="2"/>
        <v>50</v>
      </c>
    </row>
    <row r="12" spans="1:13" s="544" customFormat="1" ht="33.6" customHeight="1" x14ac:dyDescent="0.25">
      <c r="A12" s="552" t="s">
        <v>63</v>
      </c>
      <c r="B12" s="553" t="s">
        <v>166</v>
      </c>
      <c r="C12" s="508">
        <v>8000</v>
      </c>
      <c r="D12" s="508">
        <v>250</v>
      </c>
      <c r="E12" s="508">
        <f>C12+D12</f>
        <v>8250</v>
      </c>
      <c r="F12" s="508"/>
      <c r="G12" s="549">
        <f t="shared" si="3"/>
        <v>8250</v>
      </c>
      <c r="H12" s="549"/>
      <c r="I12" s="549">
        <f t="shared" si="1"/>
        <v>8250</v>
      </c>
      <c r="J12" s="574"/>
      <c r="K12" s="508">
        <f>8000+250</f>
        <v>8250</v>
      </c>
      <c r="L12" s="554"/>
      <c r="M12" s="1044">
        <f t="shared" si="2"/>
        <v>8250</v>
      </c>
    </row>
    <row r="13" spans="1:13" s="544" customFormat="1" ht="33.6" customHeight="1" x14ac:dyDescent="0.25">
      <c r="A13" s="552" t="s">
        <v>64</v>
      </c>
      <c r="B13" s="575" t="s">
        <v>240</v>
      </c>
      <c r="C13" s="508">
        <v>3000</v>
      </c>
      <c r="D13" s="508">
        <v>525</v>
      </c>
      <c r="E13" s="508">
        <v>2875</v>
      </c>
      <c r="F13" s="508"/>
      <c r="G13" s="549">
        <f t="shared" si="3"/>
        <v>2875</v>
      </c>
      <c r="H13" s="549"/>
      <c r="I13" s="549">
        <f t="shared" si="1"/>
        <v>2875</v>
      </c>
      <c r="J13" s="574"/>
      <c r="K13" s="508">
        <v>2875</v>
      </c>
      <c r="L13" s="554"/>
      <c r="M13" s="1044">
        <f t="shared" si="2"/>
        <v>2875</v>
      </c>
    </row>
    <row r="14" spans="1:13" s="561" customFormat="1" ht="33.6" customHeight="1" x14ac:dyDescent="0.25">
      <c r="A14" s="552" t="s">
        <v>65</v>
      </c>
      <c r="B14" s="553" t="s">
        <v>193</v>
      </c>
      <c r="C14" s="508">
        <v>1000</v>
      </c>
      <c r="D14" s="508">
        <v>784</v>
      </c>
      <c r="E14" s="508">
        <f t="shared" ref="E14:E18" si="4">C14+D14</f>
        <v>1784</v>
      </c>
      <c r="F14" s="508"/>
      <c r="G14" s="549">
        <f t="shared" si="3"/>
        <v>1784</v>
      </c>
      <c r="H14" s="549"/>
      <c r="I14" s="549">
        <f t="shared" si="1"/>
        <v>1784</v>
      </c>
      <c r="J14" s="576"/>
      <c r="K14" s="508">
        <f>1000+D14</f>
        <v>1784</v>
      </c>
      <c r="L14" s="577"/>
      <c r="M14" s="1044">
        <f t="shared" si="2"/>
        <v>1784</v>
      </c>
    </row>
    <row r="15" spans="1:13" s="544" customFormat="1" ht="33.6" customHeight="1" x14ac:dyDescent="0.25">
      <c r="A15" s="552" t="s">
        <v>66</v>
      </c>
      <c r="B15" s="575" t="s">
        <v>167</v>
      </c>
      <c r="C15" s="508">
        <v>2400</v>
      </c>
      <c r="D15" s="508"/>
      <c r="E15" s="508">
        <f t="shared" si="4"/>
        <v>2400</v>
      </c>
      <c r="F15" s="508"/>
      <c r="G15" s="549">
        <f t="shared" si="3"/>
        <v>2400</v>
      </c>
      <c r="H15" s="549"/>
      <c r="I15" s="549">
        <f t="shared" si="1"/>
        <v>2400</v>
      </c>
      <c r="J15" s="574"/>
      <c r="K15" s="508">
        <v>2400</v>
      </c>
      <c r="L15" s="554"/>
      <c r="M15" s="1044">
        <f t="shared" si="2"/>
        <v>2400</v>
      </c>
    </row>
    <row r="16" spans="1:13" s="544" customFormat="1" ht="33.6" customHeight="1" x14ac:dyDescent="0.25">
      <c r="A16" s="552" t="s">
        <v>67</v>
      </c>
      <c r="B16" s="575" t="s">
        <v>168</v>
      </c>
      <c r="C16" s="508">
        <v>5000</v>
      </c>
      <c r="D16" s="508">
        <v>128</v>
      </c>
      <c r="E16" s="508">
        <f t="shared" si="4"/>
        <v>5128</v>
      </c>
      <c r="F16" s="508"/>
      <c r="G16" s="549">
        <f t="shared" si="3"/>
        <v>5128</v>
      </c>
      <c r="H16" s="549"/>
      <c r="I16" s="549">
        <f t="shared" si="1"/>
        <v>5128</v>
      </c>
      <c r="J16" s="574"/>
      <c r="K16" s="508">
        <f>5000+D16</f>
        <v>5128</v>
      </c>
      <c r="L16" s="554"/>
      <c r="M16" s="1044">
        <f t="shared" si="2"/>
        <v>5128</v>
      </c>
    </row>
    <row r="17" spans="1:13" s="544" customFormat="1" ht="33.6" customHeight="1" x14ac:dyDescent="0.25">
      <c r="A17" s="552" t="s">
        <v>68</v>
      </c>
      <c r="B17" s="578" t="s">
        <v>529</v>
      </c>
      <c r="C17" s="508">
        <v>4200</v>
      </c>
      <c r="D17" s="508">
        <v>677</v>
      </c>
      <c r="E17" s="508">
        <f t="shared" si="4"/>
        <v>4877</v>
      </c>
      <c r="F17" s="508"/>
      <c r="G17" s="549">
        <f t="shared" si="3"/>
        <v>4877</v>
      </c>
      <c r="H17" s="549"/>
      <c r="I17" s="549">
        <f t="shared" si="1"/>
        <v>4877</v>
      </c>
      <c r="J17" s="574"/>
      <c r="K17" s="508">
        <f>4200+D17</f>
        <v>4877</v>
      </c>
      <c r="L17" s="554"/>
      <c r="M17" s="1044">
        <f t="shared" si="2"/>
        <v>4877</v>
      </c>
    </row>
    <row r="18" spans="1:13" s="544" customFormat="1" ht="33.6" customHeight="1" x14ac:dyDescent="0.25">
      <c r="A18" s="1511" t="s">
        <v>69</v>
      </c>
      <c r="B18" s="575" t="s">
        <v>169</v>
      </c>
      <c r="C18" s="508">
        <v>2000</v>
      </c>
      <c r="D18" s="508"/>
      <c r="E18" s="508">
        <f t="shared" si="4"/>
        <v>2000</v>
      </c>
      <c r="F18" s="508"/>
      <c r="G18" s="508">
        <f t="shared" si="3"/>
        <v>2000</v>
      </c>
      <c r="H18" s="508"/>
      <c r="I18" s="549">
        <f t="shared" si="1"/>
        <v>2000</v>
      </c>
      <c r="J18" s="574"/>
      <c r="K18" s="508">
        <v>2000</v>
      </c>
      <c r="L18" s="574"/>
      <c r="M18" s="1044">
        <f t="shared" si="2"/>
        <v>2000</v>
      </c>
    </row>
    <row r="19" spans="1:13" s="544" customFormat="1" ht="33.6" customHeight="1" thickBot="1" x14ac:dyDescent="0.3">
      <c r="A19" s="1511" t="s">
        <v>76</v>
      </c>
      <c r="B19" s="1519" t="s">
        <v>955</v>
      </c>
      <c r="C19" s="579"/>
      <c r="D19" s="579"/>
      <c r="E19" s="579"/>
      <c r="F19" s="579">
        <v>418</v>
      </c>
      <c r="G19" s="579">
        <v>418</v>
      </c>
      <c r="H19" s="579"/>
      <c r="I19" s="549">
        <f t="shared" si="1"/>
        <v>418</v>
      </c>
      <c r="J19" s="580"/>
      <c r="K19" s="579">
        <v>418</v>
      </c>
      <c r="L19" s="580"/>
      <c r="M19" s="1044"/>
    </row>
    <row r="20" spans="1:13" s="583" customFormat="1" ht="50.25" thickBot="1" x14ac:dyDescent="0.3">
      <c r="A20" s="1518" t="s">
        <v>170</v>
      </c>
      <c r="B20" s="1520" t="s">
        <v>825</v>
      </c>
      <c r="C20" s="507">
        <f>SUM(C21:C25)</f>
        <v>6300</v>
      </c>
      <c r="D20" s="507">
        <f t="shared" ref="D20:K20" si="5">SUM(D21:D26)</f>
        <v>3560</v>
      </c>
      <c r="E20" s="507">
        <f t="shared" si="5"/>
        <v>9860</v>
      </c>
      <c r="F20" s="507">
        <f t="shared" si="5"/>
        <v>0</v>
      </c>
      <c r="G20" s="507">
        <f t="shared" si="5"/>
        <v>9860</v>
      </c>
      <c r="H20" s="507">
        <f t="shared" si="5"/>
        <v>0</v>
      </c>
      <c r="I20" s="507">
        <f t="shared" si="5"/>
        <v>9860</v>
      </c>
      <c r="J20" s="507">
        <f t="shared" si="5"/>
        <v>0</v>
      </c>
      <c r="K20" s="507">
        <f t="shared" si="5"/>
        <v>9860</v>
      </c>
      <c r="L20" s="1521">
        <f>SUM(L21:L25)</f>
        <v>0</v>
      </c>
      <c r="M20" s="1044">
        <f t="shared" si="2"/>
        <v>9860</v>
      </c>
    </row>
    <row r="21" spans="1:13" s="544" customFormat="1" ht="33.6" customHeight="1" x14ac:dyDescent="0.25">
      <c r="A21" s="547" t="s">
        <v>61</v>
      </c>
      <c r="B21" s="1202" t="s">
        <v>474</v>
      </c>
      <c r="C21" s="549">
        <v>0</v>
      </c>
      <c r="D21" s="549"/>
      <c r="E21" s="549">
        <f>C21+D21</f>
        <v>0</v>
      </c>
      <c r="F21" s="549"/>
      <c r="G21" s="549">
        <f t="shared" ref="G21:I26" si="6">E21+F21</f>
        <v>0</v>
      </c>
      <c r="H21" s="549"/>
      <c r="I21" s="549">
        <f t="shared" si="6"/>
        <v>0</v>
      </c>
      <c r="J21" s="550"/>
      <c r="K21" s="549">
        <v>0</v>
      </c>
      <c r="L21" s="551"/>
      <c r="M21" s="1044">
        <f t="shared" si="2"/>
        <v>0</v>
      </c>
    </row>
    <row r="22" spans="1:13" s="544" customFormat="1" ht="33.6" customHeight="1" x14ac:dyDescent="0.25">
      <c r="A22" s="552" t="s">
        <v>62</v>
      </c>
      <c r="B22" s="575" t="s">
        <v>263</v>
      </c>
      <c r="C22" s="508">
        <v>0</v>
      </c>
      <c r="D22" s="508">
        <v>2500</v>
      </c>
      <c r="E22" s="508">
        <f>C22+D22</f>
        <v>2500</v>
      </c>
      <c r="F22" s="508"/>
      <c r="G22" s="549">
        <f t="shared" si="6"/>
        <v>2500</v>
      </c>
      <c r="H22" s="549"/>
      <c r="I22" s="549">
        <f t="shared" si="6"/>
        <v>2500</v>
      </c>
      <c r="J22" s="574"/>
      <c r="K22" s="508">
        <v>2500</v>
      </c>
      <c r="L22" s="554"/>
      <c r="M22" s="1044">
        <f t="shared" si="2"/>
        <v>2500</v>
      </c>
    </row>
    <row r="23" spans="1:13" s="544" customFormat="1" ht="33.6" customHeight="1" x14ac:dyDescent="0.25">
      <c r="A23" s="552" t="s">
        <v>63</v>
      </c>
      <c r="B23" s="575" t="s">
        <v>173</v>
      </c>
      <c r="C23" s="508">
        <v>2500</v>
      </c>
      <c r="D23" s="508">
        <f>1288-228-1000</f>
        <v>60</v>
      </c>
      <c r="E23" s="508">
        <f>C23+D23</f>
        <v>2560</v>
      </c>
      <c r="F23" s="508"/>
      <c r="G23" s="549">
        <f t="shared" si="6"/>
        <v>2560</v>
      </c>
      <c r="H23" s="549"/>
      <c r="I23" s="549">
        <f t="shared" si="6"/>
        <v>2560</v>
      </c>
      <c r="J23" s="574"/>
      <c r="K23" s="508">
        <v>2560</v>
      </c>
      <c r="L23" s="554"/>
      <c r="M23" s="1044">
        <f t="shared" si="2"/>
        <v>2560</v>
      </c>
    </row>
    <row r="24" spans="1:13" s="544" customFormat="1" ht="33.6" customHeight="1" x14ac:dyDescent="0.25">
      <c r="A24" s="552" t="s">
        <v>64</v>
      </c>
      <c r="B24" s="584" t="s">
        <v>174</v>
      </c>
      <c r="C24" s="508">
        <v>3400</v>
      </c>
      <c r="D24" s="508"/>
      <c r="E24" s="508">
        <f>C24+D24</f>
        <v>3400</v>
      </c>
      <c r="F24" s="508">
        <v>0</v>
      </c>
      <c r="G24" s="549">
        <f t="shared" si="6"/>
        <v>3400</v>
      </c>
      <c r="H24" s="549"/>
      <c r="I24" s="549">
        <f t="shared" si="6"/>
        <v>3400</v>
      </c>
      <c r="J24" s="574"/>
      <c r="K24" s="508">
        <v>3400</v>
      </c>
      <c r="L24" s="554"/>
      <c r="M24" s="1044">
        <f t="shared" si="2"/>
        <v>3400</v>
      </c>
    </row>
    <row r="25" spans="1:13" s="544" customFormat="1" ht="33.6" customHeight="1" x14ac:dyDescent="0.25">
      <c r="A25" s="552" t="s">
        <v>65</v>
      </c>
      <c r="B25" s="584" t="s">
        <v>175</v>
      </c>
      <c r="C25" s="1201">
        <v>400</v>
      </c>
      <c r="D25" s="1201"/>
      <c r="E25" s="508">
        <f>C25+D25</f>
        <v>400</v>
      </c>
      <c r="F25" s="508"/>
      <c r="G25" s="549">
        <f t="shared" si="6"/>
        <v>400</v>
      </c>
      <c r="H25" s="549"/>
      <c r="I25" s="549">
        <f t="shared" si="6"/>
        <v>400</v>
      </c>
      <c r="J25" s="574"/>
      <c r="K25" s="1201">
        <v>400</v>
      </c>
      <c r="L25" s="554"/>
      <c r="M25" s="1044">
        <f t="shared" si="2"/>
        <v>400</v>
      </c>
    </row>
    <row r="26" spans="1:13" s="544" customFormat="1" ht="33.6" customHeight="1" thickBot="1" x14ac:dyDescent="0.3">
      <c r="A26" s="1304" t="s">
        <v>66</v>
      </c>
      <c r="B26" s="585" t="s">
        <v>878</v>
      </c>
      <c r="C26" s="586"/>
      <c r="D26" s="586">
        <v>1000</v>
      </c>
      <c r="E26" s="579">
        <v>1000</v>
      </c>
      <c r="F26" s="579"/>
      <c r="G26" s="549">
        <f t="shared" si="6"/>
        <v>1000</v>
      </c>
      <c r="H26" s="1535"/>
      <c r="I26" s="549">
        <f t="shared" si="6"/>
        <v>1000</v>
      </c>
      <c r="J26" s="580"/>
      <c r="K26" s="586">
        <v>1000</v>
      </c>
      <c r="L26" s="581"/>
      <c r="M26" s="1044">
        <f t="shared" si="2"/>
        <v>1000</v>
      </c>
    </row>
    <row r="27" spans="1:13" s="544" customFormat="1" ht="46.9" customHeight="1" thickBot="1" x14ac:dyDescent="0.3">
      <c r="A27" s="587"/>
      <c r="B27" s="588" t="s">
        <v>176</v>
      </c>
      <c r="C27" s="589">
        <f t="shared" ref="C27:K27" si="7">C5+C20</f>
        <v>51500</v>
      </c>
      <c r="D27" s="589">
        <f t="shared" si="7"/>
        <v>6590</v>
      </c>
      <c r="E27" s="589">
        <f t="shared" si="7"/>
        <v>57425</v>
      </c>
      <c r="F27" s="589">
        <f t="shared" si="7"/>
        <v>5418</v>
      </c>
      <c r="G27" s="589">
        <f t="shared" si="7"/>
        <v>62843</v>
      </c>
      <c r="H27" s="589">
        <f t="shared" si="7"/>
        <v>0</v>
      </c>
      <c r="I27" s="589">
        <f t="shared" si="7"/>
        <v>62843</v>
      </c>
      <c r="J27" s="589">
        <f t="shared" si="7"/>
        <v>0</v>
      </c>
      <c r="K27" s="589">
        <f t="shared" si="7"/>
        <v>62843</v>
      </c>
      <c r="L27" s="590"/>
      <c r="M27" s="1044">
        <f t="shared" si="2"/>
        <v>62843</v>
      </c>
    </row>
    <row r="28" spans="1:13" ht="26.25" customHeight="1" x14ac:dyDescent="0.25">
      <c r="A28" s="200"/>
      <c r="B28" s="200"/>
      <c r="C28" s="201"/>
      <c r="D28" s="201"/>
      <c r="E28" s="201"/>
      <c r="F28" s="201"/>
      <c r="G28" s="201"/>
      <c r="H28" s="201"/>
      <c r="I28" s="201"/>
    </row>
    <row r="29" spans="1:13" ht="23.25" customHeight="1" x14ac:dyDescent="0.25">
      <c r="A29" s="200"/>
      <c r="B29" s="202"/>
      <c r="C29" s="201"/>
      <c r="D29" s="201"/>
      <c r="E29" s="201"/>
      <c r="F29" s="201"/>
      <c r="G29" s="201"/>
      <c r="H29" s="201"/>
      <c r="I29" s="201"/>
    </row>
    <row r="30" spans="1:13" ht="21" customHeight="1" x14ac:dyDescent="0.25">
      <c r="A30" s="200"/>
      <c r="B30" s="202"/>
      <c r="C30" s="201"/>
      <c r="D30" s="201"/>
      <c r="E30" s="201"/>
      <c r="F30" s="201"/>
      <c r="G30" s="201"/>
      <c r="H30" s="201"/>
      <c r="I30" s="201"/>
    </row>
    <row r="31" spans="1:13" ht="30.75" hidden="1" customHeight="1" x14ac:dyDescent="0.25">
      <c r="A31" s="200"/>
      <c r="B31" s="202"/>
      <c r="C31" s="201"/>
      <c r="D31" s="201"/>
      <c r="E31" s="201"/>
      <c r="F31" s="201"/>
      <c r="G31" s="201"/>
      <c r="H31" s="201"/>
      <c r="I31" s="201"/>
    </row>
    <row r="32" spans="1:13" ht="23.25" customHeight="1" x14ac:dyDescent="0.25">
      <c r="A32" s="200"/>
      <c r="B32" s="202"/>
      <c r="C32" s="201"/>
      <c r="D32" s="201"/>
      <c r="E32" s="201"/>
      <c r="F32" s="201"/>
      <c r="G32" s="201"/>
      <c r="H32" s="201"/>
      <c r="I32" s="201"/>
    </row>
    <row r="33" spans="1:9" ht="20.25" customHeight="1" x14ac:dyDescent="0.25">
      <c r="A33" s="200"/>
      <c r="B33" s="202"/>
      <c r="C33" s="201"/>
      <c r="D33" s="201"/>
      <c r="E33" s="201"/>
      <c r="F33" s="201"/>
      <c r="G33" s="201"/>
      <c r="H33" s="201"/>
      <c r="I33" s="201"/>
    </row>
    <row r="34" spans="1:9" ht="22.5" hidden="1" customHeight="1" x14ac:dyDescent="0.25">
      <c r="A34" s="200"/>
      <c r="B34" s="202"/>
      <c r="C34" s="201"/>
      <c r="D34" s="201"/>
      <c r="E34" s="201"/>
      <c r="F34" s="201"/>
      <c r="G34" s="201"/>
      <c r="H34" s="201"/>
      <c r="I34" s="201"/>
    </row>
    <row r="35" spans="1:9" ht="28.5" hidden="1" customHeight="1" x14ac:dyDescent="0.25">
      <c r="A35" s="200"/>
      <c r="B35" s="202"/>
      <c r="C35" s="201"/>
      <c r="D35" s="201"/>
      <c r="E35" s="201"/>
      <c r="F35" s="201"/>
      <c r="G35" s="201"/>
      <c r="H35" s="201"/>
      <c r="I35" s="201"/>
    </row>
    <row r="36" spans="1:9" ht="27.75" hidden="1" customHeight="1" x14ac:dyDescent="0.25">
      <c r="A36" s="200"/>
      <c r="B36" s="202"/>
      <c r="C36" s="201"/>
      <c r="D36" s="201"/>
      <c r="E36" s="201"/>
      <c r="F36" s="201"/>
      <c r="G36" s="201"/>
      <c r="H36" s="201"/>
      <c r="I36" s="201"/>
    </row>
    <row r="37" spans="1:9" ht="23.25" customHeight="1" x14ac:dyDescent="0.25">
      <c r="A37" s="202"/>
      <c r="B37" s="200"/>
      <c r="C37" s="203"/>
      <c r="D37" s="203"/>
      <c r="E37" s="203"/>
      <c r="F37" s="203"/>
      <c r="G37" s="203"/>
      <c r="H37" s="203"/>
      <c r="I37" s="203"/>
    </row>
    <row r="39" spans="1:9" x14ac:dyDescent="0.25">
      <c r="B39" s="205"/>
    </row>
    <row r="40" spans="1:9" x14ac:dyDescent="0.25">
      <c r="B40" s="205"/>
    </row>
    <row r="41" spans="1:9" x14ac:dyDescent="0.25">
      <c r="B41" s="205"/>
    </row>
  </sheetData>
  <mergeCells count="2">
    <mergeCell ref="A3:B3"/>
    <mergeCell ref="A2:L2"/>
  </mergeCells>
  <phoneticPr fontId="5" type="noConversion"/>
  <printOptions horizontalCentered="1"/>
  <pageMargins left="0.59055118110236227" right="0.59055118110236227" top="0.78740157480314965" bottom="0.78740157480314965" header="0.59055118110236227" footer="0.70866141732283472"/>
  <pageSetup paperSize="9" scale="53" orientation="portrait" r:id="rId1"/>
  <headerFooter alignWithMargins="0">
    <oddHeader>&amp;L&amp;"Arial,Dőlt"&amp;11 &amp;U12. melléklet a 3/2014. (II.15.) önkormányzati rendelethez</oddHeader>
    <oddFooter>&amp;C&amp;11 Nagykőrös Város Önkormányzat 2014. évi költségvetési rendeletének V. sz. módosítása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K23"/>
  <sheetViews>
    <sheetView view="pageLayout" zoomScaleNormal="100" zoomScaleSheetLayoutView="100" workbookViewId="0">
      <selection activeCell="J18" sqref="J18"/>
    </sheetView>
  </sheetViews>
  <sheetFormatPr defaultColWidth="9.140625" defaultRowHeight="15" x14ac:dyDescent="0.25"/>
  <cols>
    <col min="1" max="1" width="7" style="64" customWidth="1"/>
    <col min="2" max="2" width="54" style="64" bestFit="1" customWidth="1"/>
    <col min="3" max="3" width="14.7109375" style="64" customWidth="1"/>
    <col min="4" max="4" width="14.7109375" style="64" hidden="1" customWidth="1"/>
    <col min="5" max="5" width="14.7109375" style="207" hidden="1" customWidth="1"/>
    <col min="6" max="7" width="14.7109375" style="64" hidden="1" customWidth="1"/>
    <col min="8" max="8" width="13.140625" style="64" hidden="1" customWidth="1"/>
    <col min="9" max="9" width="13.5703125" style="64" customWidth="1"/>
    <col min="10" max="10" width="12.140625" style="64" customWidth="1"/>
    <col min="11" max="11" width="13" style="64" customWidth="1"/>
    <col min="12" max="16384" width="9.140625" style="64"/>
  </cols>
  <sheetData>
    <row r="2" spans="1:11" ht="52.15" customHeight="1" thickBot="1" x14ac:dyDescent="0.3">
      <c r="A2" s="1730" t="s">
        <v>568</v>
      </c>
      <c r="B2" s="1730"/>
      <c r="C2" s="1730"/>
      <c r="D2" s="1730"/>
      <c r="E2" s="1730"/>
      <c r="F2" s="1730"/>
      <c r="G2" s="1730"/>
      <c r="H2" s="1731"/>
      <c r="I2" s="1731"/>
      <c r="J2" s="1731"/>
      <c r="K2" s="1731"/>
    </row>
    <row r="3" spans="1:11" ht="47.25" customHeight="1" thickBot="1" x14ac:dyDescent="0.3">
      <c r="A3" s="1728" t="s">
        <v>463</v>
      </c>
      <c r="B3" s="1729"/>
      <c r="C3" s="808" t="s">
        <v>195</v>
      </c>
      <c r="D3" s="808" t="s">
        <v>830</v>
      </c>
      <c r="E3" s="1220" t="s">
        <v>884</v>
      </c>
      <c r="F3" s="1305" t="s">
        <v>890</v>
      </c>
      <c r="G3" s="1494" t="s">
        <v>932</v>
      </c>
      <c r="H3" s="1305" t="s">
        <v>890</v>
      </c>
      <c r="I3" s="1523" t="s">
        <v>946</v>
      </c>
      <c r="J3" s="1527" t="s">
        <v>890</v>
      </c>
      <c r="K3" s="1541" t="s">
        <v>880</v>
      </c>
    </row>
    <row r="4" spans="1:11" ht="27.75" customHeight="1" thickBot="1" x14ac:dyDescent="0.3">
      <c r="A4" s="141" t="s">
        <v>61</v>
      </c>
      <c r="B4" s="805" t="s">
        <v>197</v>
      </c>
      <c r="C4" s="1047">
        <v>4000</v>
      </c>
      <c r="D4" s="1045">
        <v>3352</v>
      </c>
      <c r="E4" s="1467">
        <v>14188</v>
      </c>
      <c r="F4" s="1463">
        <f>1273+1167</f>
        <v>2440</v>
      </c>
      <c r="G4" s="1467">
        <f t="shared" ref="G4:G15" si="0">E4+F4</f>
        <v>16628</v>
      </c>
      <c r="H4" s="1513"/>
      <c r="I4" s="1528">
        <f t="shared" ref="I4:K15" si="1">G4+H4</f>
        <v>16628</v>
      </c>
      <c r="J4" s="1532">
        <v>4511</v>
      </c>
      <c r="K4" s="1553">
        <f t="shared" si="1"/>
        <v>21139</v>
      </c>
    </row>
    <row r="5" spans="1:11" ht="27.75" customHeight="1" thickBot="1" x14ac:dyDescent="0.3">
      <c r="A5" s="141" t="s">
        <v>62</v>
      </c>
      <c r="B5" s="806" t="s">
        <v>198</v>
      </c>
      <c r="C5" s="1048">
        <v>12000</v>
      </c>
      <c r="D5" s="1046">
        <f>14439-5000</f>
        <v>9439</v>
      </c>
      <c r="E5" s="1468">
        <v>3239</v>
      </c>
      <c r="F5" s="1464"/>
      <c r="G5" s="1468">
        <f t="shared" si="0"/>
        <v>3239</v>
      </c>
      <c r="H5" s="1512"/>
      <c r="I5" s="1529">
        <f t="shared" si="1"/>
        <v>3239</v>
      </c>
      <c r="J5" s="1333"/>
      <c r="K5" s="1553">
        <f t="shared" si="1"/>
        <v>3239</v>
      </c>
    </row>
    <row r="6" spans="1:11" ht="27.75" customHeight="1" thickBot="1" x14ac:dyDescent="0.3">
      <c r="A6" s="141" t="s">
        <v>63</v>
      </c>
      <c r="B6" s="806" t="s">
        <v>468</v>
      </c>
      <c r="C6" s="1048">
        <v>1000</v>
      </c>
      <c r="D6" s="1046"/>
      <c r="E6" s="1468">
        <f t="shared" ref="E6:E15" si="2">C6+D6</f>
        <v>1000</v>
      </c>
      <c r="F6" s="1464"/>
      <c r="G6" s="1468">
        <f t="shared" si="0"/>
        <v>1000</v>
      </c>
      <c r="H6" s="1512">
        <v>-1000</v>
      </c>
      <c r="I6" s="1529">
        <f t="shared" si="1"/>
        <v>0</v>
      </c>
      <c r="J6" s="1333"/>
      <c r="K6" s="1553">
        <f t="shared" si="1"/>
        <v>0</v>
      </c>
    </row>
    <row r="7" spans="1:11" ht="30.75" customHeight="1" thickBot="1" x14ac:dyDescent="0.3">
      <c r="A7" s="141" t="s">
        <v>64</v>
      </c>
      <c r="B7" s="806" t="s">
        <v>313</v>
      </c>
      <c r="C7" s="1048">
        <v>6000</v>
      </c>
      <c r="D7" s="1046">
        <v>0</v>
      </c>
      <c r="E7" s="1468">
        <f t="shared" si="2"/>
        <v>6000</v>
      </c>
      <c r="F7" s="1465"/>
      <c r="G7" s="1468">
        <f t="shared" si="0"/>
        <v>6000</v>
      </c>
      <c r="H7" s="1512"/>
      <c r="I7" s="1529">
        <f t="shared" si="1"/>
        <v>6000</v>
      </c>
      <c r="J7" s="1333"/>
      <c r="K7" s="1553">
        <f t="shared" si="1"/>
        <v>6000</v>
      </c>
    </row>
    <row r="8" spans="1:11" s="98" customFormat="1" ht="27.75" customHeight="1" thickBot="1" x14ac:dyDescent="0.3">
      <c r="A8" s="141" t="s">
        <v>65</v>
      </c>
      <c r="B8" s="806" t="s">
        <v>495</v>
      </c>
      <c r="C8" s="1048">
        <v>3000</v>
      </c>
      <c r="D8" s="1046"/>
      <c r="E8" s="1468">
        <f t="shared" si="2"/>
        <v>3000</v>
      </c>
      <c r="F8" s="1465"/>
      <c r="G8" s="1468">
        <f t="shared" si="0"/>
        <v>3000</v>
      </c>
      <c r="H8" s="1512">
        <v>-3000</v>
      </c>
      <c r="I8" s="1530">
        <f t="shared" si="1"/>
        <v>0</v>
      </c>
      <c r="J8" s="63"/>
      <c r="K8" s="1553">
        <f t="shared" si="1"/>
        <v>0</v>
      </c>
    </row>
    <row r="9" spans="1:11" s="98" customFormat="1" ht="32.25" customHeight="1" thickBot="1" x14ac:dyDescent="0.3">
      <c r="A9" s="141" t="s">
        <v>66</v>
      </c>
      <c r="B9" s="806" t="s">
        <v>816</v>
      </c>
      <c r="C9" s="1048">
        <v>25000</v>
      </c>
      <c r="D9" s="1046">
        <v>-3621</v>
      </c>
      <c r="E9" s="1468">
        <v>3602</v>
      </c>
      <c r="F9" s="1464"/>
      <c r="G9" s="1468">
        <f t="shared" si="0"/>
        <v>3602</v>
      </c>
      <c r="H9" s="1512">
        <v>-3602</v>
      </c>
      <c r="I9" s="1530">
        <f t="shared" si="1"/>
        <v>0</v>
      </c>
      <c r="J9" s="63"/>
      <c r="K9" s="1553">
        <f t="shared" si="1"/>
        <v>0</v>
      </c>
    </row>
    <row r="10" spans="1:11" ht="27.75" customHeight="1" thickBot="1" x14ac:dyDescent="0.3">
      <c r="A10" s="141" t="s">
        <v>67</v>
      </c>
      <c r="B10" s="806" t="s">
        <v>179</v>
      </c>
      <c r="C10" s="1048">
        <f>'5'!C92</f>
        <v>800</v>
      </c>
      <c r="D10" s="1048">
        <v>2128</v>
      </c>
      <c r="E10" s="1468">
        <f t="shared" si="2"/>
        <v>2928</v>
      </c>
      <c r="F10" s="1465"/>
      <c r="G10" s="1468">
        <f t="shared" si="0"/>
        <v>2928</v>
      </c>
      <c r="H10" s="1512">
        <v>-400</v>
      </c>
      <c r="I10" s="1529">
        <f t="shared" si="1"/>
        <v>2528</v>
      </c>
      <c r="J10" s="1333"/>
      <c r="K10" s="1553">
        <f t="shared" si="1"/>
        <v>2528</v>
      </c>
    </row>
    <row r="11" spans="1:11" ht="27.75" customHeight="1" thickBot="1" x14ac:dyDescent="0.3">
      <c r="A11" s="141" t="s">
        <v>68</v>
      </c>
      <c r="B11" s="807" t="s">
        <v>475</v>
      </c>
      <c r="C11" s="1048">
        <v>25000</v>
      </c>
      <c r="D11" s="1046"/>
      <c r="E11" s="1468">
        <f t="shared" si="2"/>
        <v>25000</v>
      </c>
      <c r="F11" s="1465"/>
      <c r="G11" s="1468">
        <f t="shared" si="0"/>
        <v>25000</v>
      </c>
      <c r="H11" s="1512">
        <v>0</v>
      </c>
      <c r="I11" s="1529">
        <f t="shared" si="1"/>
        <v>25000</v>
      </c>
      <c r="J11" s="1333"/>
      <c r="K11" s="1553">
        <f t="shared" si="1"/>
        <v>25000</v>
      </c>
    </row>
    <row r="12" spans="1:11" s="98" customFormat="1" ht="27.75" customHeight="1" thickBot="1" x14ac:dyDescent="0.3">
      <c r="A12" s="138" t="s">
        <v>69</v>
      </c>
      <c r="B12" s="1100" t="s">
        <v>303</v>
      </c>
      <c r="C12" s="1048">
        <v>5000</v>
      </c>
      <c r="D12" s="1046"/>
      <c r="E12" s="1468">
        <v>2701</v>
      </c>
      <c r="F12" s="1464"/>
      <c r="G12" s="1468">
        <f t="shared" si="0"/>
        <v>2701</v>
      </c>
      <c r="H12" s="1512">
        <v>-2701</v>
      </c>
      <c r="I12" s="1530">
        <f t="shared" si="1"/>
        <v>0</v>
      </c>
      <c r="J12" s="63"/>
      <c r="K12" s="1553">
        <f t="shared" si="1"/>
        <v>0</v>
      </c>
    </row>
    <row r="13" spans="1:11" s="98" customFormat="1" ht="27.75" customHeight="1" thickBot="1" x14ac:dyDescent="0.3">
      <c r="A13" s="138" t="s">
        <v>76</v>
      </c>
      <c r="B13" s="1100" t="s">
        <v>847</v>
      </c>
      <c r="C13" s="1048">
        <v>0</v>
      </c>
      <c r="D13" s="1046">
        <v>1500</v>
      </c>
      <c r="E13" s="1468">
        <f t="shared" ref="E13" si="3">C13+D13</f>
        <v>1500</v>
      </c>
      <c r="F13" s="1465"/>
      <c r="G13" s="1468">
        <f t="shared" ref="G13" si="4">E13+F13</f>
        <v>1500</v>
      </c>
      <c r="H13" s="1512">
        <v>-1500</v>
      </c>
      <c r="I13" s="1530">
        <f t="shared" ref="I13" si="5">G13+H13</f>
        <v>0</v>
      </c>
      <c r="J13" s="63"/>
      <c r="K13" s="1553"/>
    </row>
    <row r="14" spans="1:11" s="98" customFormat="1" ht="27.75" customHeight="1" thickBot="1" x14ac:dyDescent="0.3">
      <c r="A14" s="138" t="s">
        <v>196</v>
      </c>
      <c r="B14" s="1100" t="s">
        <v>973</v>
      </c>
      <c r="C14" s="1048"/>
      <c r="D14" s="1046"/>
      <c r="E14" s="1468"/>
      <c r="F14" s="1465"/>
      <c r="G14" s="1468"/>
      <c r="H14" s="1512"/>
      <c r="I14" s="1530">
        <v>0</v>
      </c>
      <c r="J14" s="1540">
        <v>5875</v>
      </c>
      <c r="K14" s="1553">
        <v>5875</v>
      </c>
    </row>
    <row r="15" spans="1:11" s="98" customFormat="1" ht="27.75" customHeight="1" x14ac:dyDescent="0.25">
      <c r="A15" s="138" t="s">
        <v>908</v>
      </c>
      <c r="B15" s="1100" t="s">
        <v>974</v>
      </c>
      <c r="C15" s="1048">
        <v>0</v>
      </c>
      <c r="D15" s="1046">
        <v>1500</v>
      </c>
      <c r="E15" s="1468">
        <f t="shared" si="2"/>
        <v>1500</v>
      </c>
      <c r="F15" s="1465"/>
      <c r="G15" s="1468">
        <f t="shared" si="0"/>
        <v>1500</v>
      </c>
      <c r="H15" s="1512">
        <v>-1500</v>
      </c>
      <c r="I15" s="1539">
        <v>0</v>
      </c>
      <c r="J15" s="1540">
        <v>130790</v>
      </c>
      <c r="K15" s="1553">
        <f t="shared" si="1"/>
        <v>130790</v>
      </c>
    </row>
    <row r="16" spans="1:11" s="106" customFormat="1" ht="27.75" customHeight="1" x14ac:dyDescent="0.2">
      <c r="A16" s="1154" t="s">
        <v>910</v>
      </c>
      <c r="B16" s="1101" t="s">
        <v>460</v>
      </c>
      <c r="C16" s="1102">
        <f>SUM(C4:C15)</f>
        <v>81800</v>
      </c>
      <c r="D16" s="1102">
        <f t="shared" ref="D16:K16" si="6">SUM(D4:D15)</f>
        <v>14298</v>
      </c>
      <c r="E16" s="1102">
        <f t="shared" si="6"/>
        <v>64658</v>
      </c>
      <c r="F16" s="1102">
        <f t="shared" si="6"/>
        <v>2440</v>
      </c>
      <c r="G16" s="1102">
        <f t="shared" si="6"/>
        <v>67098</v>
      </c>
      <c r="H16" s="1102">
        <f t="shared" si="6"/>
        <v>-13703</v>
      </c>
      <c r="I16" s="1542">
        <f t="shared" si="6"/>
        <v>53395</v>
      </c>
      <c r="J16" s="1102">
        <f>SUM(J4:J15)</f>
        <v>141176</v>
      </c>
      <c r="K16" s="1102">
        <f t="shared" si="6"/>
        <v>194571</v>
      </c>
    </row>
    <row r="17" spans="1:11" s="106" customFormat="1" ht="27.75" customHeight="1" thickBot="1" x14ac:dyDescent="0.25">
      <c r="A17" s="1493" t="s">
        <v>921</v>
      </c>
      <c r="B17" s="1097" t="s">
        <v>178</v>
      </c>
      <c r="C17" s="1098">
        <v>20000</v>
      </c>
      <c r="D17" s="1099">
        <f>655+167</f>
        <v>822</v>
      </c>
      <c r="E17" s="1469">
        <v>27096</v>
      </c>
      <c r="F17" s="1466">
        <f>-10000-3600-20000-1620-675-900+1600+40+4000+4000+30000+2000+55+200+3475+30+1448</f>
        <v>10053</v>
      </c>
      <c r="G17" s="1469">
        <f>E17+F17</f>
        <v>37149</v>
      </c>
      <c r="H17" s="1469">
        <f>200+4000+1500-1368-1268-10160-4000-200-110-5000-1420+1500-5000</f>
        <v>-21326</v>
      </c>
      <c r="I17" s="1531">
        <f>G17+H17</f>
        <v>15823</v>
      </c>
      <c r="J17" s="1469">
        <f>10458+24+742+877+200+552+173+2532+839+40+620+2060+117000+4565+560+6000-2500+8800+6913+40+125-5000-5260-2003+723-43622</f>
        <v>105458</v>
      </c>
      <c r="K17" s="1469">
        <f>I17+J17</f>
        <v>121281</v>
      </c>
    </row>
    <row r="18" spans="1:11" x14ac:dyDescent="0.25">
      <c r="E18" s="209"/>
    </row>
    <row r="19" spans="1:11" ht="27" customHeight="1" x14ac:dyDescent="0.25">
      <c r="E19" s="209"/>
    </row>
    <row r="20" spans="1:11" ht="26.25" customHeight="1" x14ac:dyDescent="0.25">
      <c r="E20" s="210"/>
    </row>
    <row r="21" spans="1:11" ht="26.25" customHeight="1" x14ac:dyDescent="0.25"/>
    <row r="22" spans="1:11" ht="26.25" customHeight="1" x14ac:dyDescent="0.25">
      <c r="E22" s="209"/>
    </row>
    <row r="23" spans="1:11" ht="26.25" customHeight="1" x14ac:dyDescent="0.25">
      <c r="E23" s="209"/>
    </row>
  </sheetData>
  <mergeCells count="2">
    <mergeCell ref="A3:B3"/>
    <mergeCell ref="A2:K2"/>
  </mergeCells>
  <phoneticPr fontId="5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91" orientation="landscape" r:id="rId1"/>
  <headerFooter alignWithMargins="0">
    <oddHeader>&amp;L&amp;"Arial,Dőlt"&amp;8 &amp;U13. melléklet a 3/2014. (II.15.) önkormányzati rendelethez</oddHeader>
    <oddFooter>&amp;C&amp;8 Nagykőrös Város Önkormányzat 2014. évi költségvetési rendeletének V. sz. módosítása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18"/>
  <sheetViews>
    <sheetView view="pageLayout" zoomScaleNormal="100" zoomScaleSheetLayoutView="100" workbookViewId="0">
      <selection activeCell="A3" sqref="A3:A4"/>
    </sheetView>
  </sheetViews>
  <sheetFormatPr defaultColWidth="18.5703125" defaultRowHeight="15" x14ac:dyDescent="0.25"/>
  <cols>
    <col min="1" max="1" width="7.42578125" style="214" customWidth="1"/>
    <col min="2" max="2" width="43.7109375" style="211" customWidth="1"/>
    <col min="3" max="3" width="16.42578125" style="211" customWidth="1"/>
    <col min="4" max="4" width="16.85546875" style="211" customWidth="1"/>
    <col min="5" max="5" width="13.85546875" style="211" hidden="1" customWidth="1"/>
    <col min="6" max="6" width="14.7109375" style="211" hidden="1" customWidth="1"/>
    <col min="7" max="16384" width="18.5703125" style="211"/>
  </cols>
  <sheetData>
    <row r="1" spans="1:6" ht="21.6" customHeight="1" x14ac:dyDescent="0.25">
      <c r="A1" s="1732" t="s">
        <v>569</v>
      </c>
      <c r="B1" s="1732"/>
      <c r="C1" s="1732"/>
      <c r="D1" s="1732"/>
    </row>
    <row r="2" spans="1:6" ht="23.45" customHeight="1" thickBot="1" x14ac:dyDescent="0.3">
      <c r="A2" s="406"/>
      <c r="B2" s="406"/>
      <c r="C2" s="406"/>
      <c r="D2" s="406"/>
    </row>
    <row r="3" spans="1:6" s="212" customFormat="1" ht="39" customHeight="1" x14ac:dyDescent="0.2">
      <c r="A3" s="1743" t="s">
        <v>75</v>
      </c>
      <c r="B3" s="1741" t="s">
        <v>70</v>
      </c>
      <c r="C3" s="1741" t="s">
        <v>306</v>
      </c>
      <c r="D3" s="1739" t="s">
        <v>148</v>
      </c>
      <c r="E3" s="1733" t="s">
        <v>258</v>
      </c>
      <c r="F3" s="1735" t="s">
        <v>259</v>
      </c>
    </row>
    <row r="4" spans="1:6" s="212" customFormat="1" ht="22.5" customHeight="1" thickBot="1" x14ac:dyDescent="0.25">
      <c r="A4" s="1744"/>
      <c r="B4" s="1742"/>
      <c r="C4" s="1745"/>
      <c r="D4" s="1740"/>
      <c r="E4" s="1734"/>
      <c r="F4" s="1736"/>
    </row>
    <row r="5" spans="1:6" s="213" customFormat="1" ht="17.25" hidden="1" customHeight="1" x14ac:dyDescent="0.2">
      <c r="A5" s="419"/>
      <c r="B5" s="420" t="s">
        <v>71</v>
      </c>
      <c r="C5" s="420"/>
      <c r="D5" s="421"/>
      <c r="E5" s="402"/>
      <c r="F5" s="15"/>
    </row>
    <row r="6" spans="1:6" s="213" customFormat="1" ht="17.25" hidden="1" customHeight="1" x14ac:dyDescent="0.2">
      <c r="A6" s="407"/>
      <c r="B6" s="14" t="s">
        <v>72</v>
      </c>
      <c r="C6" s="14"/>
      <c r="D6" s="408"/>
      <c r="E6" s="402"/>
      <c r="F6" s="15"/>
    </row>
    <row r="7" spans="1:6" s="212" customFormat="1" ht="34.9" customHeight="1" x14ac:dyDescent="0.2">
      <c r="A7" s="409" t="s">
        <v>61</v>
      </c>
      <c r="B7" s="16" t="s">
        <v>455</v>
      </c>
      <c r="C7" s="222">
        <f>SUM(C8:C14)</f>
        <v>301.5</v>
      </c>
      <c r="D7" s="412">
        <f>SUM(D8:D14)</f>
        <v>47</v>
      </c>
      <c r="E7" s="403">
        <v>0</v>
      </c>
      <c r="F7" s="19">
        <f>C7+E7</f>
        <v>301.5</v>
      </c>
    </row>
    <row r="8" spans="1:6" s="218" customFormat="1" ht="27" customHeight="1" x14ac:dyDescent="0.2">
      <c r="A8" s="410" t="s">
        <v>223</v>
      </c>
      <c r="B8" s="216" t="s">
        <v>493</v>
      </c>
      <c r="C8" s="221">
        <v>16</v>
      </c>
      <c r="D8" s="411">
        <v>5</v>
      </c>
      <c r="E8" s="404">
        <v>0</v>
      </c>
      <c r="F8" s="217">
        <v>27</v>
      </c>
    </row>
    <row r="9" spans="1:6" s="218" customFormat="1" ht="27" customHeight="1" x14ac:dyDescent="0.2">
      <c r="A9" s="410" t="s">
        <v>224</v>
      </c>
      <c r="B9" s="216" t="s">
        <v>492</v>
      </c>
      <c r="C9" s="221">
        <v>75.75</v>
      </c>
      <c r="D9" s="411">
        <v>6</v>
      </c>
      <c r="E9" s="404">
        <v>0</v>
      </c>
      <c r="F9" s="219">
        <v>89</v>
      </c>
    </row>
    <row r="10" spans="1:6" s="218" customFormat="1" ht="27" customHeight="1" x14ac:dyDescent="0.2">
      <c r="A10" s="410" t="s">
        <v>262</v>
      </c>
      <c r="B10" s="216" t="s">
        <v>489</v>
      </c>
      <c r="C10" s="221">
        <v>34</v>
      </c>
      <c r="D10" s="411">
        <v>0</v>
      </c>
      <c r="E10" s="404">
        <v>0</v>
      </c>
      <c r="F10" s="219">
        <f t="shared" ref="F10:F15" si="0">C10+E10</f>
        <v>34</v>
      </c>
    </row>
    <row r="11" spans="1:6" s="218" customFormat="1" ht="27" customHeight="1" x14ac:dyDescent="0.2">
      <c r="A11" s="410" t="s">
        <v>265</v>
      </c>
      <c r="B11" s="216" t="s">
        <v>490</v>
      </c>
      <c r="C11" s="221">
        <v>21</v>
      </c>
      <c r="D11" s="411">
        <v>1</v>
      </c>
      <c r="E11" s="404">
        <v>0</v>
      </c>
      <c r="F11" s="219">
        <f t="shared" si="0"/>
        <v>21</v>
      </c>
    </row>
    <row r="12" spans="1:6" s="218" customFormat="1" ht="27" customHeight="1" x14ac:dyDescent="0.2">
      <c r="A12" s="410" t="s">
        <v>266</v>
      </c>
      <c r="B12" s="216" t="s">
        <v>201</v>
      </c>
      <c r="C12" s="221">
        <v>31</v>
      </c>
      <c r="D12" s="411">
        <v>1</v>
      </c>
      <c r="E12" s="404">
        <v>0</v>
      </c>
      <c r="F12" s="219">
        <f t="shared" si="0"/>
        <v>31</v>
      </c>
    </row>
    <row r="13" spans="1:6" s="220" customFormat="1" ht="27" customHeight="1" x14ac:dyDescent="0.2">
      <c r="A13" s="410" t="s">
        <v>267</v>
      </c>
      <c r="B13" s="216" t="s">
        <v>491</v>
      </c>
      <c r="C13" s="221">
        <v>24</v>
      </c>
      <c r="D13" s="411">
        <v>1</v>
      </c>
      <c r="E13" s="404">
        <v>0</v>
      </c>
      <c r="F13" s="219">
        <f t="shared" si="0"/>
        <v>24</v>
      </c>
    </row>
    <row r="14" spans="1:6" s="218" customFormat="1" ht="27" customHeight="1" x14ac:dyDescent="0.2">
      <c r="A14" s="410" t="s">
        <v>268</v>
      </c>
      <c r="B14" s="216" t="s">
        <v>455</v>
      </c>
      <c r="C14" s="221">
        <v>99.75</v>
      </c>
      <c r="D14" s="411">
        <v>33</v>
      </c>
      <c r="E14" s="404">
        <v>0</v>
      </c>
      <c r="F14" s="219">
        <f t="shared" si="0"/>
        <v>99.75</v>
      </c>
    </row>
    <row r="15" spans="1:6" s="213" customFormat="1" ht="34.9" customHeight="1" x14ac:dyDescent="0.2">
      <c r="A15" s="409" t="s">
        <v>62</v>
      </c>
      <c r="B15" s="16" t="s">
        <v>150</v>
      </c>
      <c r="C15" s="222">
        <v>0</v>
      </c>
      <c r="D15" s="412">
        <v>164</v>
      </c>
      <c r="E15" s="403">
        <v>0</v>
      </c>
      <c r="F15" s="17">
        <f t="shared" si="0"/>
        <v>0</v>
      </c>
    </row>
    <row r="16" spans="1:6" ht="34.9" customHeight="1" thickBot="1" x14ac:dyDescent="0.3">
      <c r="A16" s="413" t="s">
        <v>63</v>
      </c>
      <c r="B16" s="414" t="s">
        <v>73</v>
      </c>
      <c r="C16" s="415">
        <v>68</v>
      </c>
      <c r="D16" s="416">
        <v>0</v>
      </c>
      <c r="E16" s="403">
        <f>-4-1-8</f>
        <v>-13</v>
      </c>
      <c r="F16" s="17">
        <v>76</v>
      </c>
    </row>
    <row r="17" spans="1:6" ht="34.9" customHeight="1" thickBot="1" x14ac:dyDescent="0.3">
      <c r="A17" s="1737" t="s">
        <v>74</v>
      </c>
      <c r="B17" s="1738"/>
      <c r="C17" s="417">
        <f>SUM(C7+C15+C16)</f>
        <v>369.5</v>
      </c>
      <c r="D17" s="418">
        <f>SUM(D7+D15+D16)</f>
        <v>211</v>
      </c>
      <c r="E17" s="405" t="e">
        <f>SUM(E8:E8)++#REF!+#REF!+E15+E16</f>
        <v>#REF!</v>
      </c>
      <c r="F17" s="18" t="e">
        <f>SUM(F8:F8)++#REF!+#REF!+F15+F16+#REF!</f>
        <v>#REF!</v>
      </c>
    </row>
    <row r="18" spans="1:6" x14ac:dyDescent="0.25">
      <c r="B18" s="215"/>
      <c r="C18" s="215"/>
    </row>
  </sheetData>
  <mergeCells count="8">
    <mergeCell ref="A1:D1"/>
    <mergeCell ref="E3:E4"/>
    <mergeCell ref="F3:F4"/>
    <mergeCell ref="A17:B17"/>
    <mergeCell ref="D3:D4"/>
    <mergeCell ref="B3:B4"/>
    <mergeCell ref="A3:A4"/>
    <mergeCell ref="C3:C4"/>
  </mergeCells>
  <phoneticPr fontId="5" type="noConversion"/>
  <printOptions horizontalCentered="1"/>
  <pageMargins left="0.70866141732283472" right="0.70866141732283472" top="0.78740157480314965" bottom="0.78740157480314965" header="0.27559055118110237" footer="0.27559055118110237"/>
  <pageSetup paperSize="9" orientation="portrait" r:id="rId1"/>
  <headerFooter alignWithMargins="0">
    <oddHeader xml:space="preserve">&amp;L&amp;"Arial,Dőlt"&amp;8&amp;U 14. melléklet a 3/2014. (II.15.) önkormányzati rendelethez&amp;C
</oddHeader>
    <oddFooter>&amp;C&amp;8Nagykőrös Város Önkormányzat 2014. évi költségvetési rendeletének I. sz. módosítása</oddFooter>
  </headerFooter>
  <colBreaks count="1" manualBreakCount="1">
    <brk id="4" max="16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31"/>
  <sheetViews>
    <sheetView view="pageLayout" zoomScaleNormal="100" zoomScaleSheetLayoutView="100" workbookViewId="0">
      <selection activeCell="W12" sqref="W12"/>
    </sheetView>
  </sheetViews>
  <sheetFormatPr defaultColWidth="12.7109375" defaultRowHeight="15" x14ac:dyDescent="0.2"/>
  <cols>
    <col min="1" max="1" width="10" style="105" customWidth="1"/>
    <col min="2" max="2" width="41.85546875" style="136" bestFit="1" customWidth="1"/>
    <col min="3" max="3" width="15.7109375" style="98" customWidth="1"/>
    <col min="4" max="4" width="15.28515625" style="98" customWidth="1"/>
    <col min="5" max="8" width="13.85546875" style="98" hidden="1" customWidth="1"/>
    <col min="9" max="9" width="13.85546875" style="98" customWidth="1"/>
    <col min="10" max="14" width="13.85546875" style="98" hidden="1" customWidth="1"/>
    <col min="15" max="17" width="13.85546875" style="98" customWidth="1"/>
    <col min="18" max="18" width="13.140625" style="98" bestFit="1" customWidth="1"/>
    <col min="19" max="21" width="12.85546875" style="98" bestFit="1" customWidth="1"/>
    <col min="22" max="16384" width="12.7109375" style="98"/>
  </cols>
  <sheetData>
    <row r="1" spans="1:21" s="124" customFormat="1" ht="55.5" customHeight="1" thickBot="1" x14ac:dyDescent="0.25">
      <c r="A1" s="1746" t="s">
        <v>573</v>
      </c>
      <c r="B1" s="1746"/>
      <c r="C1" s="1746"/>
      <c r="D1" s="1746"/>
      <c r="E1" s="1746"/>
      <c r="F1" s="1746"/>
      <c r="G1" s="1746"/>
      <c r="H1" s="1747"/>
      <c r="I1" s="1747"/>
      <c r="J1" s="1747"/>
      <c r="K1" s="1747"/>
      <c r="L1" s="1747"/>
      <c r="M1" s="1747"/>
      <c r="N1" s="1747"/>
      <c r="O1" s="1747"/>
      <c r="P1" s="1747"/>
      <c r="Q1" s="1747"/>
      <c r="R1" s="1747"/>
      <c r="S1" s="1747"/>
      <c r="T1" s="1747"/>
    </row>
    <row r="2" spans="1:21" s="223" customFormat="1" ht="25.5" customHeight="1" x14ac:dyDescent="0.2">
      <c r="A2" s="1754" t="s">
        <v>239</v>
      </c>
      <c r="B2" s="1748" t="s">
        <v>77</v>
      </c>
      <c r="C2" s="1748" t="s">
        <v>289</v>
      </c>
      <c r="D2" s="1748"/>
      <c r="E2" s="1748" t="s">
        <v>157</v>
      </c>
      <c r="F2" s="1748" t="s">
        <v>187</v>
      </c>
      <c r="G2" s="1748" t="s">
        <v>157</v>
      </c>
      <c r="H2" s="1748" t="s">
        <v>187</v>
      </c>
      <c r="I2" s="1748" t="s">
        <v>289</v>
      </c>
      <c r="J2" s="1750" t="s">
        <v>830</v>
      </c>
      <c r="K2" s="1750" t="s">
        <v>884</v>
      </c>
      <c r="L2" s="1750" t="s">
        <v>879</v>
      </c>
      <c r="M2" s="1750" t="s">
        <v>932</v>
      </c>
      <c r="N2" s="1750" t="s">
        <v>879</v>
      </c>
      <c r="O2" s="1750" t="s">
        <v>932</v>
      </c>
      <c r="P2" s="1750" t="s">
        <v>879</v>
      </c>
      <c r="Q2" s="1750" t="s">
        <v>880</v>
      </c>
      <c r="R2" s="1761" t="s">
        <v>325</v>
      </c>
      <c r="S2" s="1763" t="s">
        <v>326</v>
      </c>
      <c r="T2" s="1759" t="s">
        <v>308</v>
      </c>
    </row>
    <row r="3" spans="1:21" s="223" customFormat="1" ht="46.15" customHeight="1" thickBot="1" x14ac:dyDescent="0.25">
      <c r="A3" s="1755"/>
      <c r="B3" s="1749"/>
      <c r="C3" s="1491" t="s">
        <v>188</v>
      </c>
      <c r="D3" s="224" t="s">
        <v>191</v>
      </c>
      <c r="E3" s="1749"/>
      <c r="F3" s="1749"/>
      <c r="G3" s="1749"/>
      <c r="H3" s="1749"/>
      <c r="I3" s="1749"/>
      <c r="J3" s="1751"/>
      <c r="K3" s="1751"/>
      <c r="L3" s="1751"/>
      <c r="M3" s="1751"/>
      <c r="N3" s="1751"/>
      <c r="O3" s="1751"/>
      <c r="P3" s="1751"/>
      <c r="Q3" s="1751"/>
      <c r="R3" s="1762"/>
      <c r="S3" s="1764"/>
      <c r="T3" s="1760"/>
    </row>
    <row r="4" spans="1:21" s="227" customFormat="1" ht="33" customHeight="1" x14ac:dyDescent="0.2">
      <c r="A4" s="225" t="s">
        <v>113</v>
      </c>
      <c r="B4" s="226" t="s">
        <v>96</v>
      </c>
      <c r="C4" s="1756" t="s">
        <v>99</v>
      </c>
      <c r="D4" s="1757"/>
      <c r="E4" s="1757"/>
      <c r="F4" s="1757"/>
      <c r="G4" s="1757"/>
      <c r="H4" s="1757"/>
      <c r="I4" s="1757"/>
      <c r="J4" s="1757"/>
      <c r="K4" s="1757"/>
      <c r="L4" s="1757"/>
      <c r="M4" s="1757"/>
      <c r="N4" s="1757"/>
      <c r="O4" s="1757"/>
      <c r="P4" s="1757"/>
      <c r="Q4" s="1757"/>
      <c r="R4" s="1757"/>
      <c r="S4" s="1757"/>
      <c r="T4" s="1758"/>
    </row>
    <row r="5" spans="1:21" s="232" customFormat="1" ht="29.1" customHeight="1" x14ac:dyDescent="0.2">
      <c r="A5" s="228" t="s">
        <v>61</v>
      </c>
      <c r="B5" s="121" t="s">
        <v>464</v>
      </c>
      <c r="C5" s="229">
        <v>4000</v>
      </c>
      <c r="D5" s="229">
        <v>4000</v>
      </c>
      <c r="E5" s="229">
        <v>1000</v>
      </c>
      <c r="F5" s="230">
        <v>0</v>
      </c>
      <c r="G5" s="230">
        <f t="shared" ref="G5:G10" si="0">E5+F5</f>
        <v>1000</v>
      </c>
      <c r="H5" s="230">
        <v>0</v>
      </c>
      <c r="I5" s="230">
        <v>4000</v>
      </c>
      <c r="J5" s="809"/>
      <c r="K5" s="810">
        <f t="shared" ref="K5:K10" si="1">I5+J5</f>
        <v>4000</v>
      </c>
      <c r="L5" s="810"/>
      <c r="M5" s="810">
        <f t="shared" ref="M5:M10" si="2">K5+L5</f>
        <v>4000</v>
      </c>
      <c r="N5" s="810"/>
      <c r="O5" s="810">
        <f t="shared" ref="O5:Q12" si="3">M5+N5</f>
        <v>4000</v>
      </c>
      <c r="P5" s="810"/>
      <c r="Q5" s="810">
        <f t="shared" si="3"/>
        <v>4000</v>
      </c>
      <c r="R5" s="1049">
        <v>0</v>
      </c>
      <c r="S5" s="230">
        <v>4000</v>
      </c>
      <c r="T5" s="1050"/>
      <c r="U5" s="811">
        <f t="shared" ref="U5:U13" si="4">R5+S5+T5</f>
        <v>4000</v>
      </c>
    </row>
    <row r="6" spans="1:21" s="232" customFormat="1" ht="29.1" customHeight="1" x14ac:dyDescent="0.2">
      <c r="A6" s="228" t="s">
        <v>62</v>
      </c>
      <c r="B6" s="121" t="s">
        <v>242</v>
      </c>
      <c r="C6" s="229">
        <v>12000</v>
      </c>
      <c r="D6" s="229">
        <v>12000</v>
      </c>
      <c r="E6" s="229">
        <v>7200</v>
      </c>
      <c r="F6" s="230">
        <f>-150</f>
        <v>-150</v>
      </c>
      <c r="G6" s="230">
        <f t="shared" si="0"/>
        <v>7050</v>
      </c>
      <c r="H6" s="230">
        <v>0</v>
      </c>
      <c r="I6" s="230">
        <v>12000</v>
      </c>
      <c r="J6" s="230"/>
      <c r="K6" s="810">
        <f t="shared" si="1"/>
        <v>12000</v>
      </c>
      <c r="L6" s="810"/>
      <c r="M6" s="810">
        <f t="shared" si="2"/>
        <v>12000</v>
      </c>
      <c r="N6" s="810"/>
      <c r="O6" s="810">
        <f t="shared" si="3"/>
        <v>12000</v>
      </c>
      <c r="P6" s="810"/>
      <c r="Q6" s="810">
        <f t="shared" si="3"/>
        <v>12000</v>
      </c>
      <c r="R6" s="230">
        <v>12000</v>
      </c>
      <c r="S6" s="1051"/>
      <c r="T6" s="1050"/>
      <c r="U6" s="811">
        <f t="shared" si="4"/>
        <v>12000</v>
      </c>
    </row>
    <row r="7" spans="1:21" s="232" customFormat="1" ht="29.1" customHeight="1" x14ac:dyDescent="0.2">
      <c r="A7" s="228" t="s">
        <v>63</v>
      </c>
      <c r="B7" s="121" t="s">
        <v>283</v>
      </c>
      <c r="C7" s="229">
        <v>4000</v>
      </c>
      <c r="D7" s="229">
        <v>4000</v>
      </c>
      <c r="E7" s="229">
        <v>0</v>
      </c>
      <c r="F7" s="230">
        <v>0</v>
      </c>
      <c r="G7" s="230">
        <f t="shared" si="0"/>
        <v>0</v>
      </c>
      <c r="H7" s="230">
        <v>0</v>
      </c>
      <c r="I7" s="230">
        <v>4000</v>
      </c>
      <c r="J7" s="230"/>
      <c r="K7" s="810">
        <f t="shared" si="1"/>
        <v>4000</v>
      </c>
      <c r="L7" s="810"/>
      <c r="M7" s="810">
        <f t="shared" si="2"/>
        <v>4000</v>
      </c>
      <c r="N7" s="810"/>
      <c r="O7" s="810">
        <f t="shared" si="3"/>
        <v>4000</v>
      </c>
      <c r="P7" s="810"/>
      <c r="Q7" s="810">
        <f t="shared" si="3"/>
        <v>4000</v>
      </c>
      <c r="R7" s="230">
        <v>4000</v>
      </c>
      <c r="S7" s="1051"/>
      <c r="T7" s="1050"/>
      <c r="U7" s="811">
        <f t="shared" si="4"/>
        <v>4000</v>
      </c>
    </row>
    <row r="8" spans="1:21" s="232" customFormat="1" ht="29.1" customHeight="1" x14ac:dyDescent="0.2">
      <c r="A8" s="228" t="s">
        <v>64</v>
      </c>
      <c r="B8" s="121" t="s">
        <v>465</v>
      </c>
      <c r="C8" s="229">
        <v>20000</v>
      </c>
      <c r="D8" s="229">
        <v>20000</v>
      </c>
      <c r="E8" s="229">
        <v>1000</v>
      </c>
      <c r="F8" s="230">
        <v>0</v>
      </c>
      <c r="G8" s="230">
        <f t="shared" si="0"/>
        <v>1000</v>
      </c>
      <c r="H8" s="230">
        <v>0</v>
      </c>
      <c r="I8" s="230">
        <v>20000</v>
      </c>
      <c r="J8" s="230"/>
      <c r="K8" s="810">
        <f t="shared" si="1"/>
        <v>20000</v>
      </c>
      <c r="L8" s="810"/>
      <c r="M8" s="810">
        <f t="shared" si="2"/>
        <v>20000</v>
      </c>
      <c r="N8" s="810">
        <v>5000</v>
      </c>
      <c r="O8" s="810">
        <f t="shared" si="3"/>
        <v>25000</v>
      </c>
      <c r="P8" s="810"/>
      <c r="Q8" s="810">
        <f t="shared" si="3"/>
        <v>25000</v>
      </c>
      <c r="R8" s="230">
        <v>25000</v>
      </c>
      <c r="S8" s="1051"/>
      <c r="T8" s="1050"/>
      <c r="U8" s="811">
        <f t="shared" si="4"/>
        <v>25000</v>
      </c>
    </row>
    <row r="9" spans="1:21" s="232" customFormat="1" ht="29.1" customHeight="1" x14ac:dyDescent="0.2">
      <c r="A9" s="228" t="s">
        <v>65</v>
      </c>
      <c r="B9" s="121" t="s">
        <v>466</v>
      </c>
      <c r="C9" s="229">
        <v>2000</v>
      </c>
      <c r="D9" s="229">
        <v>2000</v>
      </c>
      <c r="E9" s="229">
        <v>1200</v>
      </c>
      <c r="F9" s="230">
        <v>0</v>
      </c>
      <c r="G9" s="230">
        <f t="shared" si="0"/>
        <v>1200</v>
      </c>
      <c r="H9" s="230">
        <v>0</v>
      </c>
      <c r="I9" s="230">
        <v>2000</v>
      </c>
      <c r="J9" s="230"/>
      <c r="K9" s="810">
        <f t="shared" si="1"/>
        <v>2000</v>
      </c>
      <c r="L9" s="810"/>
      <c r="M9" s="810">
        <f t="shared" si="2"/>
        <v>2000</v>
      </c>
      <c r="N9" s="810"/>
      <c r="O9" s="810">
        <f t="shared" si="3"/>
        <v>2000</v>
      </c>
      <c r="P9" s="810"/>
      <c r="Q9" s="810">
        <f t="shared" si="3"/>
        <v>2000</v>
      </c>
      <c r="R9" s="230">
        <v>2000</v>
      </c>
      <c r="S9" s="1049">
        <v>0</v>
      </c>
      <c r="T9" s="1050"/>
      <c r="U9" s="811">
        <f t="shared" si="4"/>
        <v>2000</v>
      </c>
    </row>
    <row r="10" spans="1:21" ht="29.1" customHeight="1" x14ac:dyDescent="0.2">
      <c r="A10" s="228" t="s">
        <v>66</v>
      </c>
      <c r="B10" s="63" t="s">
        <v>467</v>
      </c>
      <c r="C10" s="229">
        <v>4000</v>
      </c>
      <c r="D10" s="1368">
        <v>4000</v>
      </c>
      <c r="E10" s="1368">
        <v>0</v>
      </c>
      <c r="F10" s="1368">
        <v>0</v>
      </c>
      <c r="G10" s="1368">
        <f t="shared" si="0"/>
        <v>0</v>
      </c>
      <c r="H10" s="1368">
        <v>0</v>
      </c>
      <c r="I10" s="1368">
        <v>4000</v>
      </c>
      <c r="J10" s="1368"/>
      <c r="K10" s="230">
        <f t="shared" si="1"/>
        <v>4000</v>
      </c>
      <c r="L10" s="230"/>
      <c r="M10" s="230">
        <f t="shared" si="2"/>
        <v>4000</v>
      </c>
      <c r="N10" s="230"/>
      <c r="O10" s="230">
        <f t="shared" si="3"/>
        <v>4000</v>
      </c>
      <c r="P10" s="230"/>
      <c r="Q10" s="810">
        <f t="shared" si="3"/>
        <v>4000</v>
      </c>
      <c r="R10" s="1368">
        <v>0</v>
      </c>
      <c r="S10" s="1368">
        <v>4000</v>
      </c>
      <c r="T10" s="1413"/>
      <c r="U10" s="811">
        <f t="shared" si="4"/>
        <v>4000</v>
      </c>
    </row>
    <row r="11" spans="1:21" ht="29.1" customHeight="1" x14ac:dyDescent="0.2">
      <c r="A11" s="228" t="s">
        <v>67</v>
      </c>
      <c r="B11" s="63" t="s">
        <v>129</v>
      </c>
      <c r="C11" s="229"/>
      <c r="D11" s="1368"/>
      <c r="E11" s="1368"/>
      <c r="F11" s="1368"/>
      <c r="G11" s="1368"/>
      <c r="H11" s="1368"/>
      <c r="I11" s="1368"/>
      <c r="J11" s="1368"/>
      <c r="K11" s="230">
        <v>100</v>
      </c>
      <c r="L11" s="230">
        <v>60</v>
      </c>
      <c r="M11" s="230">
        <f>K11+L11</f>
        <v>160</v>
      </c>
      <c r="N11" s="230"/>
      <c r="O11" s="230">
        <f t="shared" si="3"/>
        <v>160</v>
      </c>
      <c r="P11" s="230"/>
      <c r="Q11" s="810">
        <f t="shared" si="3"/>
        <v>160</v>
      </c>
      <c r="R11" s="1368">
        <v>160</v>
      </c>
      <c r="S11" s="1368"/>
      <c r="T11" s="1413"/>
      <c r="U11" s="811"/>
    </row>
    <row r="12" spans="1:21" ht="29.1" customHeight="1" thickBot="1" x14ac:dyDescent="0.25">
      <c r="A12" s="1516" t="s">
        <v>68</v>
      </c>
      <c r="B12" s="1439" t="s">
        <v>938</v>
      </c>
      <c r="C12" s="1440"/>
      <c r="D12" s="1441"/>
      <c r="E12" s="1441"/>
      <c r="F12" s="1441"/>
      <c r="G12" s="1441"/>
      <c r="H12" s="1441"/>
      <c r="I12" s="1441"/>
      <c r="J12" s="1441"/>
      <c r="K12" s="1442"/>
      <c r="L12" s="1442">
        <v>8033</v>
      </c>
      <c r="M12" s="1442">
        <v>8033</v>
      </c>
      <c r="N12" s="1442">
        <v>7383</v>
      </c>
      <c r="O12" s="1442">
        <f t="shared" si="3"/>
        <v>15416</v>
      </c>
      <c r="P12" s="1442"/>
      <c r="Q12" s="810">
        <f t="shared" si="3"/>
        <v>15416</v>
      </c>
      <c r="R12" s="1441">
        <v>15416</v>
      </c>
      <c r="S12" s="1441"/>
      <c r="T12" s="1517"/>
      <c r="U12" s="811"/>
    </row>
    <row r="13" spans="1:21" s="233" customFormat="1" ht="33" customHeight="1" thickBot="1" x14ac:dyDescent="0.25">
      <c r="A13" s="1752" t="s">
        <v>190</v>
      </c>
      <c r="B13" s="1753"/>
      <c r="C13" s="1443">
        <f>SUM(C5:C10)</f>
        <v>46000</v>
      </c>
      <c r="D13" s="1443">
        <f>SUM(D5:D10)</f>
        <v>46000</v>
      </c>
      <c r="E13" s="1443">
        <f>E4+SUM(E5:E10)</f>
        <v>10400</v>
      </c>
      <c r="F13" s="1443">
        <f>F4+SUM(F5:F10)</f>
        <v>-150</v>
      </c>
      <c r="G13" s="1443">
        <f>E13+F13</f>
        <v>10250</v>
      </c>
      <c r="H13" s="1443">
        <f>H4+SUM(H5:H10)</f>
        <v>0</v>
      </c>
      <c r="I13" s="1443">
        <f t="shared" ref="I13:T13" si="5">SUM(I5:I10)</f>
        <v>46000</v>
      </c>
      <c r="J13" s="1443">
        <f t="shared" si="5"/>
        <v>0</v>
      </c>
      <c r="K13" s="1443">
        <f>SUM(K5:K11)</f>
        <v>46100</v>
      </c>
      <c r="L13" s="1443">
        <f t="shared" ref="L13:R13" si="6">SUM(L5:L12)</f>
        <v>8093</v>
      </c>
      <c r="M13" s="1443">
        <f t="shared" si="6"/>
        <v>54193</v>
      </c>
      <c r="N13" s="1443">
        <f t="shared" si="6"/>
        <v>12383</v>
      </c>
      <c r="O13" s="1443">
        <f t="shared" si="6"/>
        <v>66576</v>
      </c>
      <c r="P13" s="1443">
        <f t="shared" si="6"/>
        <v>0</v>
      </c>
      <c r="Q13" s="1443">
        <f t="shared" si="6"/>
        <v>66576</v>
      </c>
      <c r="R13" s="1443">
        <f t="shared" si="6"/>
        <v>58576</v>
      </c>
      <c r="S13" s="1443">
        <f t="shared" si="5"/>
        <v>8000</v>
      </c>
      <c r="T13" s="1444">
        <f t="shared" si="5"/>
        <v>0</v>
      </c>
      <c r="U13" s="811">
        <f t="shared" si="4"/>
        <v>66576</v>
      </c>
    </row>
    <row r="14" spans="1:21" ht="22.5" customHeight="1" x14ac:dyDescent="0.2"/>
    <row r="15" spans="1:21" ht="19.5" customHeight="1" x14ac:dyDescent="0.2">
      <c r="B15" s="98"/>
      <c r="D15" s="208" t="s">
        <v>99</v>
      </c>
      <c r="I15" s="208" t="s">
        <v>99</v>
      </c>
      <c r="J15" s="208"/>
      <c r="K15" s="208"/>
      <c r="L15" s="208"/>
      <c r="M15" s="208"/>
      <c r="N15" s="208"/>
      <c r="O15" s="208"/>
      <c r="P15" s="208"/>
      <c r="Q15" s="208"/>
    </row>
    <row r="16" spans="1:21" ht="41.25" customHeight="1" x14ac:dyDescent="0.2"/>
    <row r="17" spans="1:17" ht="22.5" customHeight="1" x14ac:dyDescent="0.2">
      <c r="B17" s="234"/>
      <c r="C17" s="235"/>
      <c r="D17" s="236"/>
      <c r="E17" s="235"/>
      <c r="F17" s="236"/>
    </row>
    <row r="18" spans="1:17" ht="22.5" customHeight="1" x14ac:dyDescent="0.2">
      <c r="C18" s="135"/>
      <c r="D18" s="135"/>
      <c r="E18" s="234"/>
      <c r="F18" s="235"/>
      <c r="G18" s="236"/>
      <c r="H18" s="235"/>
      <c r="I18" s="236"/>
      <c r="J18" s="236"/>
      <c r="K18" s="236"/>
      <c r="L18" s="236"/>
      <c r="M18" s="236"/>
      <c r="N18" s="236"/>
      <c r="O18" s="236"/>
      <c r="P18" s="236"/>
      <c r="Q18" s="236"/>
    </row>
    <row r="19" spans="1:17" s="106" customFormat="1" ht="17.25" customHeight="1" x14ac:dyDescent="0.2">
      <c r="A19" s="96"/>
      <c r="B19" s="130"/>
      <c r="C19" s="237"/>
      <c r="D19" s="237"/>
      <c r="E19" s="237"/>
      <c r="F19" s="237"/>
      <c r="G19" s="236"/>
      <c r="H19" s="237"/>
      <c r="I19" s="236"/>
      <c r="J19" s="236"/>
      <c r="K19" s="236"/>
      <c r="L19" s="236"/>
      <c r="M19" s="236"/>
      <c r="N19" s="236"/>
      <c r="O19" s="236"/>
      <c r="P19" s="236"/>
      <c r="Q19" s="236"/>
    </row>
    <row r="20" spans="1:17" s="106" customFormat="1" ht="17.25" customHeight="1" x14ac:dyDescent="0.2">
      <c r="A20" s="96"/>
      <c r="B20" s="130"/>
      <c r="C20" s="237"/>
      <c r="D20" s="237"/>
      <c r="E20" s="237"/>
      <c r="F20" s="237"/>
      <c r="G20" s="236"/>
      <c r="H20" s="237"/>
      <c r="I20" s="236"/>
      <c r="J20" s="236"/>
      <c r="K20" s="236"/>
      <c r="L20" s="236"/>
      <c r="M20" s="236"/>
      <c r="N20" s="236"/>
      <c r="O20" s="236"/>
      <c r="P20" s="236"/>
      <c r="Q20" s="236"/>
    </row>
    <row r="21" spans="1:17" s="106" customFormat="1" ht="17.25" customHeight="1" x14ac:dyDescent="0.2">
      <c r="A21" s="96"/>
      <c r="B21" s="130"/>
      <c r="C21" s="234"/>
      <c r="D21" s="234"/>
      <c r="E21" s="234"/>
      <c r="F21" s="237"/>
      <c r="G21" s="236"/>
      <c r="H21" s="237"/>
      <c r="I21" s="236"/>
      <c r="J21" s="236"/>
      <c r="K21" s="236"/>
      <c r="L21" s="236"/>
      <c r="M21" s="236"/>
      <c r="N21" s="236"/>
      <c r="O21" s="236"/>
      <c r="P21" s="236"/>
      <c r="Q21" s="236"/>
    </row>
    <row r="22" spans="1:17" ht="18.75" customHeight="1" x14ac:dyDescent="0.2">
      <c r="B22" s="130"/>
    </row>
    <row r="23" spans="1:17" ht="18.75" customHeight="1" x14ac:dyDescent="0.2">
      <c r="C23" s="135"/>
      <c r="D23" s="135"/>
      <c r="E23" s="135"/>
    </row>
    <row r="24" spans="1:17" ht="18.75" customHeight="1" x14ac:dyDescent="0.2">
      <c r="C24" s="135"/>
      <c r="D24" s="135"/>
      <c r="E24" s="135"/>
    </row>
    <row r="25" spans="1:17" ht="18.75" customHeight="1" x14ac:dyDescent="0.2">
      <c r="C25" s="135"/>
      <c r="D25" s="135"/>
      <c r="E25" s="135"/>
    </row>
    <row r="26" spans="1:17" ht="18.75" customHeight="1" x14ac:dyDescent="0.2">
      <c r="C26" s="135"/>
      <c r="D26" s="135"/>
      <c r="E26" s="135"/>
    </row>
    <row r="27" spans="1:17" ht="18.75" customHeight="1" x14ac:dyDescent="0.2">
      <c r="B27" s="130"/>
      <c r="C27" s="132"/>
      <c r="D27" s="132"/>
      <c r="E27" s="132"/>
    </row>
    <row r="28" spans="1:17" s="106" customFormat="1" ht="51.75" customHeight="1" x14ac:dyDescent="0.2">
      <c r="A28" s="96"/>
      <c r="B28" s="137"/>
      <c r="E28" s="132"/>
    </row>
    <row r="29" spans="1:17" ht="27" customHeight="1" x14ac:dyDescent="0.2">
      <c r="C29" s="136"/>
      <c r="D29" s="136"/>
      <c r="E29" s="136"/>
    </row>
    <row r="30" spans="1:17" ht="18.75" customHeight="1" x14ac:dyDescent="0.2"/>
    <row r="31" spans="1:17" ht="18.75" customHeight="1" x14ac:dyDescent="0.2"/>
  </sheetData>
  <protectedRanges>
    <protectedRange sqref="C10:C12 G10:G12 S5 R6:R9 I10:L12 C6:J9 R10:S12 C4:Q5 K6:Q12" name="Tartomány4_1"/>
    <protectedRange sqref="C13:T13" name="Tartomány14_1"/>
  </protectedRanges>
  <mergeCells count="22">
    <mergeCell ref="A13:B13"/>
    <mergeCell ref="A2:A3"/>
    <mergeCell ref="B2:B3"/>
    <mergeCell ref="C2:D2"/>
    <mergeCell ref="E2:E3"/>
    <mergeCell ref="C4:T4"/>
    <mergeCell ref="T2:T3"/>
    <mergeCell ref="R2:R3"/>
    <mergeCell ref="S2:S3"/>
    <mergeCell ref="K2:K3"/>
    <mergeCell ref="J2:J3"/>
    <mergeCell ref="M2:M3"/>
    <mergeCell ref="L2:L3"/>
    <mergeCell ref="O2:O3"/>
    <mergeCell ref="N2:N3"/>
    <mergeCell ref="P2:P3"/>
    <mergeCell ref="A1:T1"/>
    <mergeCell ref="H2:H3"/>
    <mergeCell ref="I2:I3"/>
    <mergeCell ref="F2:F3"/>
    <mergeCell ref="G2:G3"/>
    <mergeCell ref="Q2:Q3"/>
  </mergeCells>
  <phoneticPr fontId="5" type="noConversion"/>
  <printOptions horizontalCentered="1"/>
  <pageMargins left="0.70866141732283472" right="0.70866141732283472" top="0.78740157480314965" bottom="0.78740157480314965" header="0.31496062992125984" footer="0.27559055118110237"/>
  <pageSetup paperSize="9" scale="75" orientation="landscape" r:id="rId1"/>
  <headerFooter alignWithMargins="0">
    <oddHeader>&amp;L&amp;"Arial,Dőlt"&amp;8 &amp;U15. melléklet a 3/2014. (II.15.) önkormányzati rendelethez</oddHeader>
    <oddFooter>&amp;C&amp;9 &amp;8Nagykőrös Város Önkormányzat 2014. évi költségvetési rendeletének V. sz. módosítása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26"/>
  <sheetViews>
    <sheetView view="pageLayout" zoomScaleNormal="100" zoomScaleSheetLayoutView="100" workbookViewId="0">
      <selection activeCell="P11" sqref="P11"/>
    </sheetView>
  </sheetViews>
  <sheetFormatPr defaultColWidth="12.7109375" defaultRowHeight="15" x14ac:dyDescent="0.2"/>
  <cols>
    <col min="1" max="1" width="10" style="105" customWidth="1"/>
    <col min="2" max="2" width="35" style="136" customWidth="1"/>
    <col min="3" max="3" width="15.7109375" style="98" customWidth="1"/>
    <col min="4" max="4" width="15.28515625" style="98" customWidth="1"/>
    <col min="5" max="8" width="13.85546875" style="98" hidden="1" customWidth="1"/>
    <col min="9" max="9" width="13.7109375" style="98" customWidth="1"/>
    <col min="10" max="11" width="13.7109375" style="98" hidden="1" customWidth="1"/>
    <col min="12" max="12" width="14.28515625" style="98" hidden="1" customWidth="1"/>
    <col min="13" max="13" width="14.28515625" style="98" bestFit="1" customWidth="1"/>
    <col min="14" max="15" width="14.28515625" style="98" customWidth="1"/>
    <col min="16" max="17" width="14" style="98" customWidth="1"/>
    <col min="18" max="16384" width="12.7109375" style="98"/>
  </cols>
  <sheetData>
    <row r="1" spans="1:19" s="124" customFormat="1" ht="62.25" customHeight="1" thickBot="1" x14ac:dyDescent="0.25">
      <c r="A1" s="1765" t="s">
        <v>574</v>
      </c>
      <c r="B1" s="1765"/>
      <c r="C1" s="1765"/>
      <c r="D1" s="1765"/>
      <c r="E1" s="1765"/>
      <c r="F1" s="1765"/>
      <c r="G1" s="1765"/>
      <c r="H1" s="1765"/>
      <c r="I1" s="1765"/>
      <c r="J1" s="1765"/>
      <c r="K1" s="1765"/>
      <c r="L1" s="1765"/>
      <c r="M1" s="1765"/>
      <c r="N1" s="1765"/>
      <c r="O1" s="1765"/>
      <c r="P1" s="1765"/>
      <c r="Q1" s="1765"/>
      <c r="R1" s="1765"/>
    </row>
    <row r="2" spans="1:19" s="223" customFormat="1" ht="18" customHeight="1" x14ac:dyDescent="0.2">
      <c r="A2" s="1754" t="s">
        <v>239</v>
      </c>
      <c r="B2" s="1748" t="s">
        <v>77</v>
      </c>
      <c r="C2" s="1748" t="s">
        <v>289</v>
      </c>
      <c r="D2" s="1748"/>
      <c r="E2" s="1748" t="s">
        <v>157</v>
      </c>
      <c r="F2" s="1748" t="s">
        <v>187</v>
      </c>
      <c r="G2" s="1748" t="s">
        <v>157</v>
      </c>
      <c r="H2" s="1748" t="s">
        <v>187</v>
      </c>
      <c r="I2" s="1748" t="s">
        <v>289</v>
      </c>
      <c r="J2" s="1750" t="s">
        <v>830</v>
      </c>
      <c r="K2" s="1750" t="s">
        <v>884</v>
      </c>
      <c r="L2" s="1750" t="s">
        <v>963</v>
      </c>
      <c r="M2" s="1750" t="s">
        <v>932</v>
      </c>
      <c r="N2" s="1750" t="s">
        <v>963</v>
      </c>
      <c r="O2" s="1750" t="s">
        <v>880</v>
      </c>
      <c r="P2" s="1773" t="s">
        <v>325</v>
      </c>
      <c r="Q2" s="1773" t="s">
        <v>326</v>
      </c>
      <c r="R2" s="1775" t="s">
        <v>308</v>
      </c>
    </row>
    <row r="3" spans="1:19" s="223" customFormat="1" ht="30" x14ac:dyDescent="0.2">
      <c r="A3" s="1769"/>
      <c r="B3" s="1766"/>
      <c r="C3" s="1492" t="s">
        <v>188</v>
      </c>
      <c r="D3" s="238" t="s">
        <v>454</v>
      </c>
      <c r="E3" s="1766"/>
      <c r="F3" s="1766"/>
      <c r="G3" s="1766"/>
      <c r="H3" s="1766"/>
      <c r="I3" s="1766"/>
      <c r="J3" s="1777"/>
      <c r="K3" s="1777"/>
      <c r="L3" s="1777"/>
      <c r="M3" s="1777"/>
      <c r="N3" s="1777"/>
      <c r="O3" s="1777"/>
      <c r="P3" s="1774"/>
      <c r="Q3" s="1774"/>
      <c r="R3" s="1776"/>
    </row>
    <row r="4" spans="1:19" s="227" customFormat="1" ht="36.75" customHeight="1" x14ac:dyDescent="0.2">
      <c r="A4" s="814" t="s">
        <v>113</v>
      </c>
      <c r="B4" s="1770" t="s">
        <v>96</v>
      </c>
      <c r="C4" s="1771"/>
      <c r="D4" s="1771"/>
      <c r="E4" s="1771"/>
      <c r="F4" s="1771"/>
      <c r="G4" s="1771"/>
      <c r="H4" s="1771"/>
      <c r="I4" s="1771"/>
      <c r="J4" s="1771"/>
      <c r="K4" s="1771"/>
      <c r="L4" s="1771"/>
      <c r="M4" s="1771"/>
      <c r="N4" s="1771"/>
      <c r="O4" s="1771"/>
      <c r="P4" s="1771"/>
      <c r="Q4" s="1771"/>
      <c r="R4" s="1772"/>
    </row>
    <row r="5" spans="1:19" s="232" customFormat="1" ht="27" customHeight="1" x14ac:dyDescent="0.2">
      <c r="A5" s="228" t="s">
        <v>61</v>
      </c>
      <c r="B5" s="121" t="s">
        <v>840</v>
      </c>
      <c r="C5" s="239">
        <v>35000</v>
      </c>
      <c r="D5" s="240">
        <v>3500</v>
      </c>
      <c r="E5" s="239">
        <v>14000</v>
      </c>
      <c r="F5" s="241">
        <v>0</v>
      </c>
      <c r="G5" s="241">
        <f>E5+F5</f>
        <v>14000</v>
      </c>
      <c r="H5" s="241">
        <v>0</v>
      </c>
      <c r="I5" s="241">
        <v>3500</v>
      </c>
      <c r="J5" s="812"/>
      <c r="K5" s="812">
        <f t="shared" ref="K5:K10" si="0">I5+J5</f>
        <v>3500</v>
      </c>
      <c r="L5" s="812">
        <v>-3000</v>
      </c>
      <c r="M5" s="1484">
        <f>C5+L5</f>
        <v>32000</v>
      </c>
      <c r="N5" s="1484"/>
      <c r="O5" s="1484">
        <f t="shared" ref="O5:O11" si="1">M5+N5</f>
        <v>32000</v>
      </c>
      <c r="P5" s="242">
        <v>31500</v>
      </c>
      <c r="Q5" s="143">
        <v>500</v>
      </c>
      <c r="R5" s="231"/>
      <c r="S5" s="813">
        <f>P5+Q5+R5</f>
        <v>32000</v>
      </c>
    </row>
    <row r="6" spans="1:19" s="232" customFormat="1" ht="27" customHeight="1" x14ac:dyDescent="0.2">
      <c r="A6" s="228" t="s">
        <v>62</v>
      </c>
      <c r="B6" s="121" t="s">
        <v>125</v>
      </c>
      <c r="C6" s="239">
        <v>80000</v>
      </c>
      <c r="D6" s="240">
        <v>8000</v>
      </c>
      <c r="E6" s="239">
        <v>70000</v>
      </c>
      <c r="F6" s="241">
        <v>0</v>
      </c>
      <c r="G6" s="241">
        <f>E6+F6</f>
        <v>70000</v>
      </c>
      <c r="H6" s="241">
        <v>0</v>
      </c>
      <c r="I6" s="241">
        <v>8000</v>
      </c>
      <c r="J6" s="812"/>
      <c r="K6" s="812">
        <f t="shared" si="0"/>
        <v>8000</v>
      </c>
      <c r="L6" s="812"/>
      <c r="M6" s="1484">
        <f t="shared" ref="M6:M12" si="2">C6+L6</f>
        <v>80000</v>
      </c>
      <c r="N6" s="1484">
        <v>-12900</v>
      </c>
      <c r="O6" s="1484">
        <f t="shared" si="1"/>
        <v>67100</v>
      </c>
      <c r="P6" s="242">
        <v>59100</v>
      </c>
      <c r="Q6" s="143">
        <v>8000</v>
      </c>
      <c r="R6" s="231"/>
      <c r="S6" s="813">
        <f t="shared" ref="S6:S12" si="3">P6+Q6+R6</f>
        <v>67100</v>
      </c>
    </row>
    <row r="7" spans="1:19" s="232" customFormat="1" ht="27" customHeight="1" x14ac:dyDescent="0.2">
      <c r="A7" s="228" t="s">
        <v>63</v>
      </c>
      <c r="B7" s="121" t="s">
        <v>189</v>
      </c>
      <c r="C7" s="239">
        <v>20000</v>
      </c>
      <c r="D7" s="240">
        <v>0</v>
      </c>
      <c r="E7" s="239">
        <v>20000</v>
      </c>
      <c r="F7" s="241">
        <v>0</v>
      </c>
      <c r="G7" s="241"/>
      <c r="H7" s="241"/>
      <c r="I7" s="241">
        <v>0</v>
      </c>
      <c r="J7" s="812"/>
      <c r="K7" s="812">
        <f t="shared" si="0"/>
        <v>0</v>
      </c>
      <c r="L7" s="812">
        <v>-20000</v>
      </c>
      <c r="M7" s="1484">
        <f t="shared" si="2"/>
        <v>0</v>
      </c>
      <c r="N7" s="1484"/>
      <c r="O7" s="1484">
        <f t="shared" si="1"/>
        <v>0</v>
      </c>
      <c r="P7" s="242">
        <v>0</v>
      </c>
      <c r="Q7" s="143"/>
      <c r="R7" s="231"/>
      <c r="S7" s="813">
        <f t="shared" si="3"/>
        <v>0</v>
      </c>
    </row>
    <row r="8" spans="1:19" s="232" customFormat="1" ht="27" customHeight="1" x14ac:dyDescent="0.2">
      <c r="A8" s="228" t="s">
        <v>64</v>
      </c>
      <c r="B8" s="121" t="s">
        <v>129</v>
      </c>
      <c r="C8" s="239">
        <v>600</v>
      </c>
      <c r="D8" s="240">
        <v>0</v>
      </c>
      <c r="E8" s="239">
        <v>500</v>
      </c>
      <c r="F8" s="241">
        <v>0</v>
      </c>
      <c r="G8" s="241"/>
      <c r="H8" s="241"/>
      <c r="I8" s="241">
        <v>0</v>
      </c>
      <c r="J8" s="812"/>
      <c r="K8" s="812">
        <f t="shared" si="0"/>
        <v>0</v>
      </c>
      <c r="L8" s="812">
        <v>-300</v>
      </c>
      <c r="M8" s="1484">
        <f t="shared" si="2"/>
        <v>300</v>
      </c>
      <c r="N8" s="1484"/>
      <c r="O8" s="1484">
        <f t="shared" si="1"/>
        <v>300</v>
      </c>
      <c r="P8" s="242">
        <v>300</v>
      </c>
      <c r="Q8" s="143"/>
      <c r="R8" s="231"/>
      <c r="S8" s="813">
        <f t="shared" si="3"/>
        <v>300</v>
      </c>
    </row>
    <row r="9" spans="1:19" s="232" customFormat="1" ht="27" customHeight="1" x14ac:dyDescent="0.2">
      <c r="A9" s="228" t="s">
        <v>65</v>
      </c>
      <c r="B9" s="121" t="s">
        <v>126</v>
      </c>
      <c r="C9" s="239">
        <v>2000</v>
      </c>
      <c r="D9" s="240">
        <v>0</v>
      </c>
      <c r="E9" s="239">
        <v>1200</v>
      </c>
      <c r="F9" s="241">
        <v>0</v>
      </c>
      <c r="G9" s="241"/>
      <c r="H9" s="241"/>
      <c r="I9" s="241">
        <v>0</v>
      </c>
      <c r="J9" s="812"/>
      <c r="K9" s="812">
        <f t="shared" si="0"/>
        <v>0</v>
      </c>
      <c r="L9" s="812"/>
      <c r="M9" s="1484">
        <f t="shared" si="2"/>
        <v>2000</v>
      </c>
      <c r="N9" s="1484">
        <v>-1100</v>
      </c>
      <c r="O9" s="1484">
        <f t="shared" si="1"/>
        <v>900</v>
      </c>
      <c r="P9" s="242">
        <v>900</v>
      </c>
      <c r="Q9" s="143"/>
      <c r="R9" s="231"/>
      <c r="S9" s="813">
        <f t="shared" si="3"/>
        <v>900</v>
      </c>
    </row>
    <row r="10" spans="1:19" s="232" customFormat="1" ht="27" customHeight="1" x14ac:dyDescent="0.2">
      <c r="A10" s="228" t="s">
        <v>66</v>
      </c>
      <c r="B10" s="121" t="s">
        <v>3</v>
      </c>
      <c r="C10" s="239">
        <v>250000</v>
      </c>
      <c r="D10" s="240">
        <v>50000</v>
      </c>
      <c r="E10" s="239">
        <v>176000</v>
      </c>
      <c r="F10" s="241">
        <v>0</v>
      </c>
      <c r="G10" s="241">
        <v>220000</v>
      </c>
      <c r="H10" s="241">
        <v>0</v>
      </c>
      <c r="I10" s="241">
        <v>50000</v>
      </c>
      <c r="J10" s="241"/>
      <c r="K10" s="241">
        <f t="shared" si="0"/>
        <v>50000</v>
      </c>
      <c r="L10" s="241">
        <v>-121800</v>
      </c>
      <c r="M10" s="1490">
        <f>C10+L10+150000</f>
        <v>278200</v>
      </c>
      <c r="N10" s="1490">
        <v>-6000</v>
      </c>
      <c r="O10" s="1484">
        <f t="shared" si="1"/>
        <v>272200</v>
      </c>
      <c r="P10" s="143">
        <v>216512</v>
      </c>
      <c r="Q10" s="143">
        <f>O10-P10</f>
        <v>55688</v>
      </c>
      <c r="R10" s="231"/>
      <c r="S10" s="813">
        <f t="shared" si="3"/>
        <v>272200</v>
      </c>
    </row>
    <row r="11" spans="1:19" s="232" customFormat="1" ht="27" customHeight="1" x14ac:dyDescent="0.2">
      <c r="A11" s="228" t="s">
        <v>67</v>
      </c>
      <c r="B11" s="121" t="s">
        <v>953</v>
      </c>
      <c r="C11" s="239"/>
      <c r="D11" s="240"/>
      <c r="E11" s="239"/>
      <c r="F11" s="241"/>
      <c r="G11" s="241"/>
      <c r="H11" s="241"/>
      <c r="I11" s="241"/>
      <c r="J11" s="241"/>
      <c r="K11" s="241"/>
      <c r="L11" s="241">
        <v>100</v>
      </c>
      <c r="M11" s="1490">
        <v>100</v>
      </c>
      <c r="N11" s="1490"/>
      <c r="O11" s="1484">
        <f t="shared" si="1"/>
        <v>100</v>
      </c>
      <c r="P11" s="143">
        <v>100</v>
      </c>
      <c r="Q11" s="143"/>
      <c r="R11" s="231"/>
      <c r="S11" s="813"/>
    </row>
    <row r="12" spans="1:19" s="233" customFormat="1" ht="38.25" customHeight="1" thickBot="1" x14ac:dyDescent="0.25">
      <c r="A12" s="1767" t="s">
        <v>190</v>
      </c>
      <c r="B12" s="1768"/>
      <c r="C12" s="1485">
        <f>SUM(C5:C10)</f>
        <v>387600</v>
      </c>
      <c r="D12" s="1486">
        <f>SUM(D5:D10)</f>
        <v>61500</v>
      </c>
      <c r="E12" s="1485">
        <f>E4+SUM(E5:E10)</f>
        <v>281700</v>
      </c>
      <c r="F12" s="1485">
        <f>F4+SUM(F5:F10)</f>
        <v>0</v>
      </c>
      <c r="G12" s="1485">
        <f>E12+F12</f>
        <v>281700</v>
      </c>
      <c r="H12" s="1485">
        <f>H4+SUM(H5:H10)</f>
        <v>0</v>
      </c>
      <c r="I12" s="1485">
        <f>SUM(I5:I10)</f>
        <v>61500</v>
      </c>
      <c r="J12" s="1485">
        <f>SUM(J5:J10)</f>
        <v>0</v>
      </c>
      <c r="K12" s="1485">
        <f>SUM(K5:K10)</f>
        <v>61500</v>
      </c>
      <c r="L12" s="1485">
        <f>SUM(L5:L11)</f>
        <v>-145000</v>
      </c>
      <c r="M12" s="1487">
        <f t="shared" si="2"/>
        <v>242600</v>
      </c>
      <c r="N12" s="1485">
        <f>SUM(N5:N11)</f>
        <v>-20000</v>
      </c>
      <c r="O12" s="1526">
        <f>SUM(O5:O11)</f>
        <v>372600</v>
      </c>
      <c r="P12" s="1488">
        <f>SUM(P5:P11)</f>
        <v>308412</v>
      </c>
      <c r="Q12" s="1488">
        <f>SUM(Q4:Q11)</f>
        <v>64188</v>
      </c>
      <c r="R12" s="1489"/>
      <c r="S12" s="813">
        <f t="shared" si="3"/>
        <v>372600</v>
      </c>
    </row>
    <row r="13" spans="1:19" ht="22.5" customHeight="1" x14ac:dyDescent="0.2">
      <c r="G13" s="234"/>
      <c r="I13" s="234"/>
      <c r="J13" s="234"/>
      <c r="K13" s="234"/>
      <c r="L13" s="234"/>
      <c r="M13" s="234"/>
      <c r="N13" s="234"/>
      <c r="O13" s="234"/>
    </row>
    <row r="14" spans="1:19" ht="22.5" customHeight="1" x14ac:dyDescent="0.2">
      <c r="C14" s="135"/>
      <c r="D14" s="135"/>
      <c r="E14" s="234"/>
      <c r="F14" s="235"/>
      <c r="G14" s="236"/>
      <c r="H14" s="235"/>
      <c r="I14" s="236"/>
      <c r="J14" s="236"/>
      <c r="K14" s="236"/>
      <c r="L14" s="236"/>
      <c r="M14" s="236"/>
      <c r="N14" s="236"/>
      <c r="O14" s="236"/>
    </row>
    <row r="15" spans="1:19" ht="22.5" customHeight="1" x14ac:dyDescent="0.2">
      <c r="C15" s="135"/>
      <c r="D15" s="135"/>
      <c r="E15" s="234"/>
      <c r="F15" s="235"/>
      <c r="G15" s="236"/>
      <c r="H15" s="235"/>
      <c r="I15" s="236"/>
      <c r="J15" s="236"/>
      <c r="K15" s="236"/>
      <c r="L15" s="236"/>
      <c r="M15" s="236"/>
      <c r="N15" s="236"/>
      <c r="O15" s="236"/>
    </row>
    <row r="16" spans="1:19" s="106" customFormat="1" ht="17.25" customHeight="1" x14ac:dyDescent="0.2">
      <c r="A16" s="96"/>
      <c r="B16" s="130"/>
      <c r="C16" s="237"/>
      <c r="D16" s="237"/>
      <c r="E16" s="237"/>
      <c r="F16" s="237"/>
      <c r="G16" s="236"/>
      <c r="H16" s="237"/>
      <c r="I16" s="236"/>
      <c r="J16" s="236"/>
      <c r="K16" s="236"/>
      <c r="L16" s="236"/>
      <c r="M16" s="236"/>
      <c r="N16" s="236"/>
      <c r="O16" s="236"/>
    </row>
    <row r="17" spans="1:15" s="106" customFormat="1" ht="17.25" customHeight="1" x14ac:dyDescent="0.2">
      <c r="A17" s="96"/>
      <c r="B17" s="130"/>
      <c r="C17" s="237"/>
      <c r="D17" s="237"/>
      <c r="E17" s="237"/>
      <c r="F17" s="237"/>
      <c r="G17" s="236"/>
      <c r="H17" s="237"/>
      <c r="I17" s="236"/>
      <c r="J17" s="236"/>
      <c r="K17" s="236"/>
      <c r="L17" s="236"/>
      <c r="M17" s="236"/>
      <c r="N17" s="236"/>
      <c r="O17" s="236"/>
    </row>
    <row r="18" spans="1:15" s="106" customFormat="1" ht="17.25" customHeight="1" x14ac:dyDescent="0.2">
      <c r="A18" s="96"/>
      <c r="B18" s="130"/>
      <c r="C18" s="234"/>
      <c r="D18" s="234"/>
      <c r="E18" s="234"/>
      <c r="F18" s="237"/>
      <c r="G18" s="236"/>
      <c r="H18" s="237"/>
      <c r="I18" s="236"/>
      <c r="J18" s="236"/>
      <c r="K18" s="236"/>
      <c r="L18" s="236"/>
      <c r="M18" s="236"/>
      <c r="N18" s="236"/>
      <c r="O18" s="236"/>
    </row>
    <row r="19" spans="1:15" x14ac:dyDescent="0.2">
      <c r="B19" s="130"/>
    </row>
    <row r="20" spans="1:15" x14ac:dyDescent="0.2">
      <c r="C20" s="135"/>
      <c r="D20" s="135"/>
      <c r="E20" s="135"/>
    </row>
    <row r="21" spans="1:15" x14ac:dyDescent="0.2">
      <c r="C21" s="135"/>
      <c r="D21" s="135"/>
      <c r="E21" s="135"/>
    </row>
    <row r="22" spans="1:15" x14ac:dyDescent="0.2">
      <c r="C22" s="135"/>
      <c r="D22" s="135"/>
      <c r="E22" s="135"/>
    </row>
    <row r="23" spans="1:15" x14ac:dyDescent="0.2">
      <c r="C23" s="135"/>
      <c r="D23" s="135"/>
      <c r="E23" s="135"/>
    </row>
    <row r="24" spans="1:15" x14ac:dyDescent="0.2">
      <c r="B24" s="130"/>
      <c r="C24" s="132"/>
      <c r="D24" s="132"/>
      <c r="E24" s="132"/>
    </row>
    <row r="25" spans="1:15" s="106" customFormat="1" ht="14.25" x14ac:dyDescent="0.2">
      <c r="A25" s="96"/>
      <c r="B25" s="137"/>
      <c r="E25" s="132"/>
    </row>
    <row r="26" spans="1:15" x14ac:dyDescent="0.2">
      <c r="C26" s="136"/>
      <c r="D26" s="136"/>
      <c r="E26" s="136"/>
    </row>
  </sheetData>
  <protectedRanges>
    <protectedRange sqref="M12 O12 C4:O11" name="Tartomány4_1"/>
    <protectedRange sqref="C13:O13 C12:L12 N12" name="Tartomány14_1"/>
  </protectedRanges>
  <mergeCells count="20">
    <mergeCell ref="A12:B12"/>
    <mergeCell ref="A2:A3"/>
    <mergeCell ref="B2:B3"/>
    <mergeCell ref="C2:D2"/>
    <mergeCell ref="E2:E3"/>
    <mergeCell ref="B4:R4"/>
    <mergeCell ref="P2:P3"/>
    <mergeCell ref="Q2:Q3"/>
    <mergeCell ref="R2:R3"/>
    <mergeCell ref="K2:K3"/>
    <mergeCell ref="J2:J3"/>
    <mergeCell ref="M2:M3"/>
    <mergeCell ref="L2:L3"/>
    <mergeCell ref="N2:N3"/>
    <mergeCell ref="O2:O3"/>
    <mergeCell ref="A1:R1"/>
    <mergeCell ref="H2:H3"/>
    <mergeCell ref="I2:I3"/>
    <mergeCell ref="F2:F3"/>
    <mergeCell ref="G2:G3"/>
  </mergeCells>
  <phoneticPr fontId="30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77" orientation="landscape" r:id="rId1"/>
  <headerFooter alignWithMargins="0">
    <oddHeader>&amp;L&amp;"Arial,Dőlt"&amp;9 &amp;U16. melléklet a 3/2014. (II.15.) önkormányzati rendelethez</oddHeader>
    <oddFooter>&amp;C&amp;9 Nagykőrös Város Önkormányzat 2014. évi költségvetési rendeletének V. sz. módosítása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M62"/>
  <sheetViews>
    <sheetView view="pageLayout" zoomScale="110" zoomScaleNormal="100" zoomScaleSheetLayoutView="100" zoomScalePageLayoutView="110" workbookViewId="0">
      <selection activeCell="D21" sqref="D21:D22"/>
    </sheetView>
  </sheetViews>
  <sheetFormatPr defaultColWidth="9.140625" defaultRowHeight="15" x14ac:dyDescent="0.2"/>
  <cols>
    <col min="1" max="1" width="0.28515625" style="98" customWidth="1"/>
    <col min="2" max="2" width="57.140625" style="98" customWidth="1"/>
    <col min="3" max="3" width="11.5703125" style="98" customWidth="1"/>
    <col min="4" max="7" width="11.5703125" style="135" customWidth="1"/>
    <col min="8" max="10" width="11.5703125" style="98" customWidth="1"/>
    <col min="11" max="12" width="6.28515625" style="98" customWidth="1"/>
    <col min="13" max="16384" width="9.140625" style="98"/>
  </cols>
  <sheetData>
    <row r="1" spans="2:13" x14ac:dyDescent="0.2">
      <c r="B1" s="96"/>
      <c r="C1" s="96"/>
      <c r="D1" s="96"/>
      <c r="E1" s="96"/>
      <c r="F1" s="96"/>
      <c r="G1" s="96"/>
      <c r="H1" s="96"/>
      <c r="I1" s="96"/>
      <c r="J1" s="96"/>
    </row>
    <row r="2" spans="2:13" x14ac:dyDescent="0.2">
      <c r="B2" s="1782" t="s">
        <v>144</v>
      </c>
      <c r="C2" s="1783"/>
      <c r="D2" s="1783"/>
      <c r="E2" s="1783"/>
      <c r="F2" s="1783"/>
      <c r="G2" s="1783"/>
      <c r="H2" s="1783"/>
      <c r="I2" s="1783"/>
      <c r="J2" s="1783"/>
      <c r="K2" s="105"/>
      <c r="L2" s="105"/>
      <c r="M2" s="105"/>
    </row>
    <row r="3" spans="2:13" x14ac:dyDescent="0.2">
      <c r="B3" s="96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</row>
    <row r="4" spans="2:13" ht="11.25" customHeight="1" thickBot="1" x14ac:dyDescent="0.25">
      <c r="G4" s="160"/>
      <c r="H4" s="153"/>
      <c r="I4" s="153"/>
    </row>
    <row r="5" spans="2:13" x14ac:dyDescent="0.2">
      <c r="B5" s="1786" t="s">
        <v>111</v>
      </c>
      <c r="C5" s="1784" t="s">
        <v>358</v>
      </c>
      <c r="D5" s="1785"/>
      <c r="E5" s="1780">
        <v>2014</v>
      </c>
      <c r="F5" s="1780">
        <v>2015</v>
      </c>
      <c r="G5" s="1780">
        <v>2016</v>
      </c>
      <c r="H5" s="1780">
        <v>2017</v>
      </c>
      <c r="I5" s="1780">
        <v>2018</v>
      </c>
      <c r="J5" s="1778">
        <v>2019</v>
      </c>
    </row>
    <row r="6" spans="2:13" ht="15.75" thickBot="1" x14ac:dyDescent="0.25">
      <c r="B6" s="1787"/>
      <c r="C6" s="243"/>
      <c r="D6" s="244" t="s">
        <v>357</v>
      </c>
      <c r="E6" s="1781"/>
      <c r="F6" s="1781"/>
      <c r="G6" s="1781"/>
      <c r="H6" s="1781"/>
      <c r="I6" s="1781"/>
      <c r="J6" s="1779"/>
    </row>
    <row r="7" spans="2:13" ht="23.1" customHeight="1" x14ac:dyDescent="0.2">
      <c r="B7" s="1799" t="s">
        <v>249</v>
      </c>
      <c r="C7" s="245" t="s">
        <v>181</v>
      </c>
      <c r="D7" s="246">
        <v>130000</v>
      </c>
      <c r="E7" s="247">
        <v>130000</v>
      </c>
      <c r="F7" s="247">
        <v>0</v>
      </c>
      <c r="G7" s="247">
        <v>0</v>
      </c>
      <c r="H7" s="247">
        <v>0</v>
      </c>
      <c r="I7" s="247">
        <v>0</v>
      </c>
      <c r="J7" s="248">
        <v>0</v>
      </c>
    </row>
    <row r="8" spans="2:13" ht="23.1" customHeight="1" x14ac:dyDescent="0.2">
      <c r="B8" s="1800"/>
      <c r="C8" s="249" t="s">
        <v>182</v>
      </c>
      <c r="D8" s="250" t="s">
        <v>94</v>
      </c>
      <c r="E8" s="251">
        <v>1000</v>
      </c>
      <c r="F8" s="252">
        <v>0</v>
      </c>
      <c r="G8" s="252">
        <v>0</v>
      </c>
      <c r="H8" s="252">
        <v>0</v>
      </c>
      <c r="I8" s="252">
        <v>0</v>
      </c>
      <c r="J8" s="253">
        <v>0</v>
      </c>
    </row>
    <row r="9" spans="2:13" ht="23.1" customHeight="1" x14ac:dyDescent="0.2">
      <c r="B9" s="1799" t="s">
        <v>250</v>
      </c>
      <c r="C9" s="245" t="s">
        <v>181</v>
      </c>
      <c r="D9" s="246">
        <v>8037</v>
      </c>
      <c r="E9" s="246">
        <v>8037</v>
      </c>
      <c r="F9" s="246">
        <v>0</v>
      </c>
      <c r="G9" s="246">
        <v>0</v>
      </c>
      <c r="H9" s="246">
        <v>0</v>
      </c>
      <c r="I9" s="246">
        <v>0</v>
      </c>
      <c r="J9" s="254">
        <v>0</v>
      </c>
    </row>
    <row r="10" spans="2:13" ht="23.1" customHeight="1" x14ac:dyDescent="0.2">
      <c r="B10" s="1800"/>
      <c r="C10" s="249" t="s">
        <v>182</v>
      </c>
      <c r="D10" s="250" t="s">
        <v>94</v>
      </c>
      <c r="E10" s="250">
        <v>100</v>
      </c>
      <c r="F10" s="250">
        <v>0</v>
      </c>
      <c r="G10" s="250">
        <v>0</v>
      </c>
      <c r="H10" s="250">
        <v>0</v>
      </c>
      <c r="I10" s="250">
        <v>0</v>
      </c>
      <c r="J10" s="255">
        <v>0</v>
      </c>
    </row>
    <row r="11" spans="2:13" ht="23.1" customHeight="1" x14ac:dyDescent="0.2">
      <c r="B11" s="1799" t="s">
        <v>360</v>
      </c>
      <c r="C11" s="245" t="s">
        <v>181</v>
      </c>
      <c r="D11" s="246">
        <v>60326</v>
      </c>
      <c r="E11" s="246">
        <v>60326</v>
      </c>
      <c r="F11" s="246">
        <v>0</v>
      </c>
      <c r="G11" s="246">
        <v>0</v>
      </c>
      <c r="H11" s="246">
        <v>0</v>
      </c>
      <c r="I11" s="246">
        <v>0</v>
      </c>
      <c r="J11" s="254">
        <v>0</v>
      </c>
    </row>
    <row r="12" spans="2:13" ht="23.1" customHeight="1" x14ac:dyDescent="0.2">
      <c r="B12" s="1800"/>
      <c r="C12" s="249" t="s">
        <v>182</v>
      </c>
      <c r="D12" s="250" t="s">
        <v>94</v>
      </c>
      <c r="E12" s="250">
        <v>500</v>
      </c>
      <c r="F12" s="250">
        <v>0</v>
      </c>
      <c r="G12" s="250">
        <v>0</v>
      </c>
      <c r="H12" s="250">
        <v>0</v>
      </c>
      <c r="I12" s="250">
        <v>0</v>
      </c>
      <c r="J12" s="255">
        <v>0</v>
      </c>
    </row>
    <row r="13" spans="2:13" ht="23.1" customHeight="1" x14ac:dyDescent="0.2">
      <c r="B13" s="1799" t="s">
        <v>359</v>
      </c>
      <c r="C13" s="245" t="s">
        <v>181</v>
      </c>
      <c r="D13" s="246">
        <v>146366</v>
      </c>
      <c r="E13" s="246">
        <v>146366</v>
      </c>
      <c r="F13" s="246">
        <v>0</v>
      </c>
      <c r="G13" s="246">
        <v>0</v>
      </c>
      <c r="H13" s="246">
        <v>0</v>
      </c>
      <c r="I13" s="246">
        <v>0</v>
      </c>
      <c r="J13" s="254">
        <v>0</v>
      </c>
    </row>
    <row r="14" spans="2:13" ht="23.1" customHeight="1" x14ac:dyDescent="0.2">
      <c r="B14" s="1800"/>
      <c r="C14" s="249" t="s">
        <v>182</v>
      </c>
      <c r="D14" s="250" t="s">
        <v>94</v>
      </c>
      <c r="E14" s="250">
        <v>1000</v>
      </c>
      <c r="F14" s="250">
        <v>0</v>
      </c>
      <c r="G14" s="250">
        <v>0</v>
      </c>
      <c r="H14" s="250">
        <v>0</v>
      </c>
      <c r="I14" s="250">
        <v>0</v>
      </c>
      <c r="J14" s="255">
        <v>0</v>
      </c>
    </row>
    <row r="15" spans="2:13" ht="27" customHeight="1" x14ac:dyDescent="0.2">
      <c r="B15" s="256" t="s">
        <v>183</v>
      </c>
      <c r="C15" s="257"/>
      <c r="D15" s="258">
        <f>SUM(D7:D14)</f>
        <v>344729</v>
      </c>
      <c r="E15" s="258">
        <f t="shared" ref="E15:J15" si="0">E7+E9+E11+E13</f>
        <v>344729</v>
      </c>
      <c r="F15" s="258">
        <f t="shared" si="0"/>
        <v>0</v>
      </c>
      <c r="G15" s="258">
        <f t="shared" si="0"/>
        <v>0</v>
      </c>
      <c r="H15" s="258">
        <f t="shared" si="0"/>
        <v>0</v>
      </c>
      <c r="I15" s="258">
        <f t="shared" si="0"/>
        <v>0</v>
      </c>
      <c r="J15" s="259">
        <f t="shared" si="0"/>
        <v>0</v>
      </c>
    </row>
    <row r="16" spans="2:13" ht="23.1" customHeight="1" x14ac:dyDescent="0.2">
      <c r="B16" s="1801" t="s">
        <v>252</v>
      </c>
      <c r="C16" s="260" t="s">
        <v>181</v>
      </c>
      <c r="D16" s="247">
        <v>35461.324000000001</v>
      </c>
      <c r="E16" s="247">
        <v>35461</v>
      </c>
      <c r="F16" s="261">
        <v>0</v>
      </c>
      <c r="G16" s="261">
        <v>0</v>
      </c>
      <c r="H16" s="261">
        <v>0</v>
      </c>
      <c r="I16" s="261">
        <v>0</v>
      </c>
      <c r="J16" s="262">
        <v>0</v>
      </c>
    </row>
    <row r="17" spans="2:13" ht="23.1" customHeight="1" x14ac:dyDescent="0.2">
      <c r="B17" s="1802"/>
      <c r="C17" s="263" t="s">
        <v>182</v>
      </c>
      <c r="D17" s="264"/>
      <c r="E17" s="265">
        <v>400</v>
      </c>
      <c r="F17" s="265">
        <v>0</v>
      </c>
      <c r="G17" s="265">
        <v>0</v>
      </c>
      <c r="H17" s="265">
        <v>0</v>
      </c>
      <c r="I17" s="265">
        <v>0</v>
      </c>
      <c r="J17" s="266">
        <v>0</v>
      </c>
    </row>
    <row r="18" spans="2:13" ht="23.1" customHeight="1" x14ac:dyDescent="0.2">
      <c r="B18" s="1801" t="s">
        <v>251</v>
      </c>
      <c r="C18" s="260" t="s">
        <v>181</v>
      </c>
      <c r="D18" s="247">
        <v>79232</v>
      </c>
      <c r="E18" s="247">
        <v>79232</v>
      </c>
      <c r="F18" s="261">
        <v>0</v>
      </c>
      <c r="G18" s="261">
        <v>0</v>
      </c>
      <c r="H18" s="261">
        <v>0</v>
      </c>
      <c r="I18" s="261">
        <v>0</v>
      </c>
      <c r="J18" s="262">
        <v>0</v>
      </c>
    </row>
    <row r="19" spans="2:13" ht="23.1" customHeight="1" x14ac:dyDescent="0.2">
      <c r="B19" s="1802"/>
      <c r="C19" s="263" t="s">
        <v>182</v>
      </c>
      <c r="D19" s="264" t="s">
        <v>94</v>
      </c>
      <c r="E19" s="265">
        <v>600</v>
      </c>
      <c r="F19" s="265">
        <v>0</v>
      </c>
      <c r="G19" s="265">
        <v>0</v>
      </c>
      <c r="H19" s="265">
        <v>0</v>
      </c>
      <c r="I19" s="265">
        <v>0</v>
      </c>
      <c r="J19" s="266">
        <v>0</v>
      </c>
    </row>
    <row r="20" spans="2:13" ht="27" customHeight="1" x14ac:dyDescent="0.2">
      <c r="B20" s="256" t="s">
        <v>200</v>
      </c>
      <c r="C20" s="267"/>
      <c r="D20" s="264">
        <f>SUM(D16:D19)</f>
        <v>114693.32399999999</v>
      </c>
      <c r="E20" s="264">
        <f t="shared" ref="E20:J20" si="1">E16+E18</f>
        <v>114693</v>
      </c>
      <c r="F20" s="264">
        <f t="shared" si="1"/>
        <v>0</v>
      </c>
      <c r="G20" s="264">
        <f t="shared" si="1"/>
        <v>0</v>
      </c>
      <c r="H20" s="264">
        <f t="shared" si="1"/>
        <v>0</v>
      </c>
      <c r="I20" s="264">
        <f t="shared" si="1"/>
        <v>0</v>
      </c>
      <c r="J20" s="268">
        <f t="shared" si="1"/>
        <v>0</v>
      </c>
    </row>
    <row r="21" spans="2:13" ht="23.1" customHeight="1" x14ac:dyDescent="0.2">
      <c r="B21" s="269" t="s">
        <v>184</v>
      </c>
      <c r="C21" s="270"/>
      <c r="D21" s="1803">
        <f>D15+D20</f>
        <v>459422.32400000002</v>
      </c>
      <c r="E21" s="271">
        <f t="shared" ref="E21:J21" si="2">E7+E9+E11+E13+E16+E18</f>
        <v>459422</v>
      </c>
      <c r="F21" s="271">
        <f t="shared" si="2"/>
        <v>0</v>
      </c>
      <c r="G21" s="271">
        <f t="shared" si="2"/>
        <v>0</v>
      </c>
      <c r="H21" s="271">
        <f t="shared" si="2"/>
        <v>0</v>
      </c>
      <c r="I21" s="271">
        <f t="shared" si="2"/>
        <v>0</v>
      </c>
      <c r="J21" s="272">
        <f t="shared" si="2"/>
        <v>0</v>
      </c>
    </row>
    <row r="22" spans="2:13" ht="23.1" customHeight="1" x14ac:dyDescent="0.2">
      <c r="B22" s="273" t="s">
        <v>185</v>
      </c>
      <c r="C22" s="274"/>
      <c r="D22" s="1804"/>
      <c r="E22" s="275">
        <f>E8+E10+E12+E17+E19+E14</f>
        <v>3600</v>
      </c>
      <c r="F22" s="275">
        <f>F8+F10+F12+F17+F19</f>
        <v>0</v>
      </c>
      <c r="G22" s="275">
        <f>G8+G10+G12+G17+G19</f>
        <v>0</v>
      </c>
      <c r="H22" s="275">
        <f>H8+H10+H12+H17+H19</f>
        <v>0</v>
      </c>
      <c r="I22" s="275">
        <f>I8+I10+I12+I17+I19</f>
        <v>0</v>
      </c>
      <c r="J22" s="276">
        <f>J8+J10+J12+J17+J19</f>
        <v>0</v>
      </c>
    </row>
    <row r="23" spans="2:13" ht="21" customHeight="1" x14ac:dyDescent="0.2">
      <c r="B23" s="1795" t="s">
        <v>253</v>
      </c>
      <c r="C23" s="1790"/>
      <c r="D23" s="144"/>
      <c r="E23" s="1797">
        <f t="shared" ref="E23:J23" si="3">SUM(E21:E22)</f>
        <v>463022</v>
      </c>
      <c r="F23" s="1797">
        <f t="shared" si="3"/>
        <v>0</v>
      </c>
      <c r="G23" s="1797">
        <f t="shared" si="3"/>
        <v>0</v>
      </c>
      <c r="H23" s="1797">
        <f t="shared" si="3"/>
        <v>0</v>
      </c>
      <c r="I23" s="1797">
        <f t="shared" si="3"/>
        <v>0</v>
      </c>
      <c r="J23" s="1793">
        <f t="shared" si="3"/>
        <v>0</v>
      </c>
    </row>
    <row r="24" spans="2:13" ht="21" customHeight="1" thickBot="1" x14ac:dyDescent="0.25">
      <c r="B24" s="1796"/>
      <c r="C24" s="1791"/>
      <c r="D24" s="277"/>
      <c r="E24" s="1798"/>
      <c r="F24" s="1798"/>
      <c r="G24" s="1798"/>
      <c r="H24" s="1798"/>
      <c r="I24" s="1798"/>
      <c r="J24" s="1794"/>
    </row>
    <row r="25" spans="2:13" ht="30.75" customHeight="1" thickBot="1" x14ac:dyDescent="0.25">
      <c r="B25" s="278" t="s">
        <v>570</v>
      </c>
      <c r="C25" s="279"/>
      <c r="D25" s="280"/>
      <c r="E25" s="280">
        <v>20000</v>
      </c>
      <c r="F25" s="280">
        <v>20000</v>
      </c>
      <c r="G25" s="280">
        <v>20000</v>
      </c>
      <c r="H25" s="280">
        <v>400000</v>
      </c>
      <c r="I25" s="280">
        <v>300000</v>
      </c>
      <c r="J25" s="281">
        <v>100000</v>
      </c>
      <c r="K25" s="159"/>
      <c r="L25" s="135"/>
      <c r="M25" s="135" t="s">
        <v>99</v>
      </c>
    </row>
    <row r="26" spans="2:13" ht="11.1" customHeight="1" x14ac:dyDescent="0.2">
      <c r="B26" s="159"/>
      <c r="C26" s="153"/>
      <c r="D26" s="277"/>
      <c r="E26" s="277"/>
      <c r="F26" s="277"/>
      <c r="G26" s="277"/>
      <c r="H26" s="153"/>
      <c r="I26" s="153"/>
    </row>
    <row r="27" spans="2:13" ht="11.1" customHeight="1" x14ac:dyDescent="0.2">
      <c r="B27" s="159"/>
      <c r="C27" s="153"/>
      <c r="D27" s="277"/>
      <c r="E27" s="277"/>
      <c r="F27" s="277"/>
      <c r="G27" s="277"/>
      <c r="H27" s="153"/>
      <c r="I27" s="153"/>
    </row>
    <row r="28" spans="2:13" ht="12" hidden="1" customHeight="1" x14ac:dyDescent="0.2"/>
    <row r="29" spans="2:13" ht="12" customHeight="1" x14ac:dyDescent="0.2"/>
    <row r="30" spans="2:13" x14ac:dyDescent="0.2">
      <c r="B30" s="1792" t="s">
        <v>355</v>
      </c>
      <c r="C30" s="1782"/>
      <c r="D30" s="1782"/>
      <c r="E30" s="1782"/>
      <c r="F30" s="1782"/>
      <c r="G30" s="1782"/>
      <c r="H30" s="1782"/>
      <c r="I30" s="1782"/>
      <c r="J30" s="1782"/>
    </row>
    <row r="31" spans="2:13" ht="18" customHeight="1" thickBot="1" x14ac:dyDescent="0.25">
      <c r="B31" s="158"/>
      <c r="C31" s="158"/>
      <c r="D31" s="282"/>
      <c r="E31" s="282"/>
      <c r="F31" s="282"/>
      <c r="G31" s="282"/>
      <c r="H31" s="158"/>
      <c r="I31" s="158"/>
      <c r="J31" s="105"/>
    </row>
    <row r="32" spans="2:13" ht="36" customHeight="1" thickBot="1" x14ac:dyDescent="0.25">
      <c r="B32" s="120" t="s">
        <v>111</v>
      </c>
      <c r="C32" s="1788" t="s">
        <v>343</v>
      </c>
      <c r="D32" s="1788"/>
      <c r="E32" s="1788"/>
      <c r="F32" s="1788"/>
      <c r="G32" s="1788"/>
      <c r="H32" s="1788"/>
      <c r="I32" s="1788"/>
      <c r="J32" s="1789"/>
    </row>
    <row r="33" spans="2:10" s="106" customFormat="1" ht="18" customHeight="1" x14ac:dyDescent="0.2">
      <c r="B33" s="118"/>
      <c r="C33" s="119" t="s">
        <v>334</v>
      </c>
      <c r="D33" s="283" t="s">
        <v>335</v>
      </c>
      <c r="E33" s="283" t="s">
        <v>336</v>
      </c>
      <c r="F33" s="283" t="s">
        <v>337</v>
      </c>
      <c r="G33" s="283" t="s">
        <v>338</v>
      </c>
      <c r="H33" s="119" t="s">
        <v>339</v>
      </c>
      <c r="I33" s="119" t="s">
        <v>340</v>
      </c>
      <c r="J33" s="298" t="s">
        <v>341</v>
      </c>
    </row>
    <row r="34" spans="2:10" x14ac:dyDescent="0.2">
      <c r="B34" s="284" t="s">
        <v>571</v>
      </c>
      <c r="C34" s="161">
        <v>809000</v>
      </c>
      <c r="D34" s="161">
        <v>817000</v>
      </c>
      <c r="E34" s="161">
        <v>825000</v>
      </c>
      <c r="F34" s="161">
        <v>833000</v>
      </c>
      <c r="G34" s="161">
        <v>833000</v>
      </c>
      <c r="H34" s="161">
        <v>833000</v>
      </c>
      <c r="I34" s="161">
        <v>833000</v>
      </c>
      <c r="J34" s="167">
        <v>833000</v>
      </c>
    </row>
    <row r="35" spans="2:10" ht="16.5" customHeight="1" x14ac:dyDescent="0.2">
      <c r="B35" s="284" t="s">
        <v>328</v>
      </c>
      <c r="C35" s="161">
        <v>71780</v>
      </c>
      <c r="D35" s="161">
        <v>71780</v>
      </c>
      <c r="E35" s="161">
        <v>71780</v>
      </c>
      <c r="F35" s="161">
        <v>71780</v>
      </c>
      <c r="G35" s="161">
        <v>71780</v>
      </c>
      <c r="H35" s="161">
        <v>71780</v>
      </c>
      <c r="I35" s="161">
        <v>71780</v>
      </c>
      <c r="J35" s="167">
        <v>71780</v>
      </c>
    </row>
    <row r="36" spans="2:10" x14ac:dyDescent="0.2">
      <c r="B36" s="284" t="s">
        <v>329</v>
      </c>
      <c r="C36" s="161"/>
      <c r="D36" s="161"/>
      <c r="E36" s="161"/>
      <c r="F36" s="161"/>
      <c r="G36" s="161"/>
      <c r="H36" s="161"/>
      <c r="I36" s="161"/>
      <c r="J36" s="167"/>
    </row>
    <row r="37" spans="2:10" ht="30" x14ac:dyDescent="0.2">
      <c r="B37" s="285" t="s">
        <v>330</v>
      </c>
      <c r="C37" s="294">
        <v>0</v>
      </c>
      <c r="D37" s="294">
        <v>0</v>
      </c>
      <c r="E37" s="294">
        <v>0</v>
      </c>
      <c r="F37" s="294">
        <v>0</v>
      </c>
      <c r="G37" s="294">
        <v>0</v>
      </c>
      <c r="H37" s="294">
        <v>0</v>
      </c>
      <c r="I37" s="294">
        <v>0</v>
      </c>
      <c r="J37" s="299">
        <v>0</v>
      </c>
    </row>
    <row r="38" spans="2:10" x14ac:dyDescent="0.2">
      <c r="B38" s="284" t="s">
        <v>331</v>
      </c>
      <c r="C38" s="161"/>
      <c r="D38" s="161"/>
      <c r="E38" s="161"/>
      <c r="F38" s="161"/>
      <c r="G38" s="161"/>
      <c r="H38" s="161"/>
      <c r="I38" s="161"/>
      <c r="J38" s="167"/>
    </row>
    <row r="39" spans="2:10" x14ac:dyDescent="0.2">
      <c r="B39" s="284" t="s">
        <v>332</v>
      </c>
      <c r="C39" s="161"/>
      <c r="D39" s="161"/>
      <c r="E39" s="161"/>
      <c r="F39" s="161"/>
      <c r="G39" s="161"/>
      <c r="H39" s="161"/>
      <c r="I39" s="161"/>
      <c r="J39" s="167"/>
    </row>
    <row r="40" spans="2:10" ht="15.75" thickBot="1" x14ac:dyDescent="0.25">
      <c r="B40" s="286" t="s">
        <v>333</v>
      </c>
      <c r="C40" s="163">
        <v>20000</v>
      </c>
      <c r="D40" s="163">
        <v>20000</v>
      </c>
      <c r="E40" s="163">
        <v>20000</v>
      </c>
      <c r="F40" s="163">
        <v>400000</v>
      </c>
      <c r="G40" s="163">
        <v>300000</v>
      </c>
      <c r="H40" s="163">
        <v>100000</v>
      </c>
      <c r="I40" s="163"/>
      <c r="J40" s="172"/>
    </row>
    <row r="41" spans="2:10" ht="15.75" thickBot="1" x14ac:dyDescent="0.25">
      <c r="B41" s="287" t="s">
        <v>342</v>
      </c>
      <c r="C41" s="164">
        <f>SUM(C34:C40)</f>
        <v>900780</v>
      </c>
      <c r="D41" s="164">
        <f t="shared" ref="D41:J41" si="4">SUM(D34:D40)</f>
        <v>908780</v>
      </c>
      <c r="E41" s="164">
        <f t="shared" si="4"/>
        <v>916780</v>
      </c>
      <c r="F41" s="164">
        <f t="shared" si="4"/>
        <v>1304780</v>
      </c>
      <c r="G41" s="164">
        <f t="shared" si="4"/>
        <v>1204780</v>
      </c>
      <c r="H41" s="164">
        <f t="shared" si="4"/>
        <v>1004780</v>
      </c>
      <c r="I41" s="164">
        <f t="shared" si="4"/>
        <v>904780</v>
      </c>
      <c r="J41" s="169">
        <f t="shared" si="4"/>
        <v>904780</v>
      </c>
    </row>
    <row r="42" spans="2:10" ht="28.9" customHeight="1" thickBot="1" x14ac:dyDescent="0.25">
      <c r="B42" s="105"/>
      <c r="C42" s="105"/>
      <c r="D42" s="288"/>
      <c r="E42" s="288"/>
      <c r="F42" s="288"/>
      <c r="G42" s="288"/>
      <c r="H42" s="105"/>
      <c r="I42" s="105"/>
      <c r="J42" s="105"/>
    </row>
    <row r="43" spans="2:10" ht="29.25" customHeight="1" thickBot="1" x14ac:dyDescent="0.25">
      <c r="B43" s="120" t="s">
        <v>111</v>
      </c>
      <c r="C43" s="1788" t="s">
        <v>344</v>
      </c>
      <c r="D43" s="1788"/>
      <c r="E43" s="1788"/>
      <c r="F43" s="1788"/>
      <c r="G43" s="1788"/>
      <c r="H43" s="1788"/>
      <c r="I43" s="1788"/>
      <c r="J43" s="1789"/>
    </row>
    <row r="44" spans="2:10" ht="15.75" thickBot="1" x14ac:dyDescent="0.25">
      <c r="B44" s="170"/>
      <c r="C44" s="289" t="s">
        <v>334</v>
      </c>
      <c r="D44" s="290" t="s">
        <v>335</v>
      </c>
      <c r="E44" s="290" t="s">
        <v>336</v>
      </c>
      <c r="F44" s="290" t="s">
        <v>337</v>
      </c>
      <c r="G44" s="290" t="s">
        <v>338</v>
      </c>
      <c r="H44" s="289" t="s">
        <v>339</v>
      </c>
      <c r="I44" s="289" t="s">
        <v>340</v>
      </c>
      <c r="J44" s="296" t="s">
        <v>341</v>
      </c>
    </row>
    <row r="45" spans="2:10" ht="15.75" thickBot="1" x14ac:dyDescent="0.25">
      <c r="B45" s="291" t="s">
        <v>345</v>
      </c>
      <c r="C45" s="295">
        <f>SUM(C46:C52)</f>
        <v>20000</v>
      </c>
      <c r="D45" s="295">
        <f t="shared" ref="D45:J45" si="5">SUM(D46:D52)</f>
        <v>20000</v>
      </c>
      <c r="E45" s="295">
        <f t="shared" si="5"/>
        <v>20000</v>
      </c>
      <c r="F45" s="295">
        <f t="shared" si="5"/>
        <v>400000</v>
      </c>
      <c r="G45" s="295">
        <f t="shared" si="5"/>
        <v>300000</v>
      </c>
      <c r="H45" s="295">
        <f t="shared" si="5"/>
        <v>100000</v>
      </c>
      <c r="I45" s="295">
        <f t="shared" si="5"/>
        <v>0</v>
      </c>
      <c r="J45" s="297">
        <f t="shared" si="5"/>
        <v>0</v>
      </c>
    </row>
    <row r="46" spans="2:10" x14ac:dyDescent="0.2">
      <c r="B46" s="292" t="s">
        <v>346</v>
      </c>
      <c r="C46" s="145">
        <v>0</v>
      </c>
      <c r="D46" s="145">
        <v>0</v>
      </c>
      <c r="E46" s="145">
        <v>0</v>
      </c>
      <c r="F46" s="145">
        <v>0</v>
      </c>
      <c r="G46" s="145">
        <v>0</v>
      </c>
      <c r="H46" s="145">
        <v>0</v>
      </c>
      <c r="I46" s="145">
        <v>0</v>
      </c>
      <c r="J46" s="173">
        <v>0</v>
      </c>
    </row>
    <row r="47" spans="2:10" x14ac:dyDescent="0.2">
      <c r="B47" s="284" t="s">
        <v>347</v>
      </c>
      <c r="C47" s="161"/>
      <c r="D47" s="161"/>
      <c r="E47" s="161"/>
      <c r="F47" s="161"/>
      <c r="G47" s="161"/>
      <c r="H47" s="161"/>
      <c r="I47" s="161"/>
      <c r="J47" s="167"/>
    </row>
    <row r="48" spans="2:10" x14ac:dyDescent="0.2">
      <c r="B48" s="284" t="s">
        <v>348</v>
      </c>
      <c r="C48" s="161"/>
      <c r="D48" s="161"/>
      <c r="E48" s="161"/>
      <c r="F48" s="161"/>
      <c r="G48" s="161"/>
      <c r="H48" s="161"/>
      <c r="I48" s="161"/>
      <c r="J48" s="167"/>
    </row>
    <row r="49" spans="2:10" x14ac:dyDescent="0.2">
      <c r="B49" s="284" t="s">
        <v>349</v>
      </c>
      <c r="C49" s="161"/>
      <c r="D49" s="161"/>
      <c r="E49" s="161"/>
      <c r="F49" s="161"/>
      <c r="G49" s="161"/>
      <c r="H49" s="161"/>
      <c r="I49" s="161"/>
      <c r="J49" s="167"/>
    </row>
    <row r="50" spans="2:10" x14ac:dyDescent="0.2">
      <c r="B50" s="284" t="s">
        <v>350</v>
      </c>
      <c r="C50" s="161"/>
      <c r="D50" s="161"/>
      <c r="E50" s="161"/>
      <c r="F50" s="161"/>
      <c r="G50" s="161"/>
      <c r="H50" s="161"/>
      <c r="I50" s="161"/>
      <c r="J50" s="167"/>
    </row>
    <row r="51" spans="2:10" x14ac:dyDescent="0.2">
      <c r="B51" s="284" t="s">
        <v>351</v>
      </c>
      <c r="C51" s="161"/>
      <c r="D51" s="161"/>
      <c r="E51" s="161"/>
      <c r="F51" s="161"/>
      <c r="G51" s="161"/>
      <c r="H51" s="161"/>
      <c r="I51" s="161"/>
      <c r="J51" s="167"/>
    </row>
    <row r="52" spans="2:10" ht="15.75" thickBot="1" x14ac:dyDescent="0.25">
      <c r="B52" s="286" t="s">
        <v>352</v>
      </c>
      <c r="C52" s="163">
        <v>20000</v>
      </c>
      <c r="D52" s="163">
        <v>20000</v>
      </c>
      <c r="E52" s="163">
        <v>20000</v>
      </c>
      <c r="F52" s="163">
        <v>400000</v>
      </c>
      <c r="G52" s="163">
        <v>300000</v>
      </c>
      <c r="H52" s="163">
        <v>100000</v>
      </c>
      <c r="I52" s="163">
        <v>0</v>
      </c>
      <c r="J52" s="172">
        <v>0</v>
      </c>
    </row>
    <row r="53" spans="2:10" ht="29.25" thickBot="1" x14ac:dyDescent="0.25">
      <c r="B53" s="293" t="s">
        <v>572</v>
      </c>
      <c r="C53" s="295">
        <v>0</v>
      </c>
      <c r="D53" s="295">
        <f>SUM(D54:D60)</f>
        <v>26000</v>
      </c>
      <c r="E53" s="295">
        <f t="shared" ref="E53:J53" si="6">SUM(E54:E60)</f>
        <v>26000</v>
      </c>
      <c r="F53" s="295">
        <f t="shared" si="6"/>
        <v>26000</v>
      </c>
      <c r="G53" s="295">
        <f t="shared" si="6"/>
        <v>26000</v>
      </c>
      <c r="H53" s="295">
        <f t="shared" si="6"/>
        <v>26000</v>
      </c>
      <c r="I53" s="295">
        <f t="shared" si="6"/>
        <v>0</v>
      </c>
      <c r="J53" s="297">
        <f t="shared" si="6"/>
        <v>0</v>
      </c>
    </row>
    <row r="54" spans="2:10" x14ac:dyDescent="0.2">
      <c r="B54" s="292" t="s">
        <v>346</v>
      </c>
      <c r="C54" s="145"/>
      <c r="D54" s="145">
        <v>26000</v>
      </c>
      <c r="E54" s="145">
        <v>26000</v>
      </c>
      <c r="F54" s="145">
        <v>26000</v>
      </c>
      <c r="G54" s="145">
        <v>26000</v>
      </c>
      <c r="H54" s="145">
        <v>26000</v>
      </c>
      <c r="I54" s="145"/>
      <c r="J54" s="173"/>
    </row>
    <row r="55" spans="2:10" x14ac:dyDescent="0.2">
      <c r="B55" s="284" t="s">
        <v>347</v>
      </c>
      <c r="C55" s="161"/>
      <c r="D55" s="161"/>
      <c r="E55" s="161"/>
      <c r="F55" s="161"/>
      <c r="G55" s="161"/>
      <c r="H55" s="161"/>
      <c r="I55" s="161"/>
      <c r="J55" s="167"/>
    </row>
    <row r="56" spans="2:10" x14ac:dyDescent="0.2">
      <c r="B56" s="284" t="s">
        <v>348</v>
      </c>
      <c r="C56" s="161"/>
      <c r="D56" s="161"/>
      <c r="E56" s="161"/>
      <c r="F56" s="161"/>
      <c r="G56" s="161"/>
      <c r="H56" s="161"/>
      <c r="I56" s="161"/>
      <c r="J56" s="167"/>
    </row>
    <row r="57" spans="2:10" x14ac:dyDescent="0.2">
      <c r="B57" s="284" t="s">
        <v>349</v>
      </c>
      <c r="C57" s="161"/>
      <c r="D57" s="161"/>
      <c r="E57" s="161"/>
      <c r="F57" s="161"/>
      <c r="G57" s="161"/>
      <c r="H57" s="161"/>
      <c r="I57" s="161"/>
      <c r="J57" s="167"/>
    </row>
    <row r="58" spans="2:10" x14ac:dyDescent="0.2">
      <c r="B58" s="284" t="s">
        <v>350</v>
      </c>
      <c r="C58" s="161"/>
      <c r="D58" s="161"/>
      <c r="E58" s="161"/>
      <c r="F58" s="161"/>
      <c r="G58" s="161"/>
      <c r="H58" s="161"/>
      <c r="I58" s="161"/>
      <c r="J58" s="167"/>
    </row>
    <row r="59" spans="2:10" x14ac:dyDescent="0.2">
      <c r="B59" s="284" t="s">
        <v>351</v>
      </c>
      <c r="C59" s="161"/>
      <c r="D59" s="161"/>
      <c r="E59" s="161"/>
      <c r="F59" s="161"/>
      <c r="G59" s="161"/>
      <c r="H59" s="161"/>
      <c r="I59" s="161"/>
      <c r="J59" s="167"/>
    </row>
    <row r="60" spans="2:10" ht="15.75" thickBot="1" x14ac:dyDescent="0.25">
      <c r="B60" s="286" t="s">
        <v>352</v>
      </c>
      <c r="C60" s="163"/>
      <c r="D60" s="163"/>
      <c r="E60" s="163"/>
      <c r="F60" s="163"/>
      <c r="G60" s="163"/>
      <c r="H60" s="163"/>
      <c r="I60" s="163"/>
      <c r="J60" s="172"/>
    </row>
    <row r="61" spans="2:10" ht="15.75" thickBot="1" x14ac:dyDescent="0.25">
      <c r="B61" s="291" t="s">
        <v>354</v>
      </c>
      <c r="C61" s="164">
        <f>C45+C53</f>
        <v>20000</v>
      </c>
      <c r="D61" s="164">
        <f t="shared" ref="D61:J61" si="7">D45+D53</f>
        <v>46000</v>
      </c>
      <c r="E61" s="164">
        <f t="shared" si="7"/>
        <v>46000</v>
      </c>
      <c r="F61" s="164">
        <f t="shared" si="7"/>
        <v>426000</v>
      </c>
      <c r="G61" s="164">
        <f t="shared" si="7"/>
        <v>326000</v>
      </c>
      <c r="H61" s="164">
        <f t="shared" si="7"/>
        <v>126000</v>
      </c>
      <c r="I61" s="164">
        <f t="shared" si="7"/>
        <v>0</v>
      </c>
      <c r="J61" s="169">
        <f t="shared" si="7"/>
        <v>0</v>
      </c>
    </row>
    <row r="62" spans="2:10" x14ac:dyDescent="0.2">
      <c r="B62" s="105"/>
      <c r="C62" s="105"/>
      <c r="D62" s="288"/>
      <c r="E62" s="288"/>
      <c r="F62" s="288"/>
      <c r="G62" s="288"/>
      <c r="H62" s="105"/>
      <c r="I62" s="105"/>
      <c r="J62" s="105"/>
    </row>
  </sheetData>
  <mergeCells count="27">
    <mergeCell ref="B7:B8"/>
    <mergeCell ref="B13:B14"/>
    <mergeCell ref="B18:B19"/>
    <mergeCell ref="D21:D22"/>
    <mergeCell ref="B11:B12"/>
    <mergeCell ref="B16:B17"/>
    <mergeCell ref="B9:B10"/>
    <mergeCell ref="C32:J32"/>
    <mergeCell ref="C43:J43"/>
    <mergeCell ref="C23:C24"/>
    <mergeCell ref="B30:J30"/>
    <mergeCell ref="J23:J24"/>
    <mergeCell ref="B23:B24"/>
    <mergeCell ref="I23:I24"/>
    <mergeCell ref="H23:H24"/>
    <mergeCell ref="E23:E24"/>
    <mergeCell ref="F23:F24"/>
    <mergeCell ref="G23:G24"/>
    <mergeCell ref="J5:J6"/>
    <mergeCell ref="I5:I6"/>
    <mergeCell ref="B2:J2"/>
    <mergeCell ref="C5:D5"/>
    <mergeCell ref="B5:B6"/>
    <mergeCell ref="E5:E6"/>
    <mergeCell ref="F5:F6"/>
    <mergeCell ref="H5:H6"/>
    <mergeCell ref="G5:G6"/>
  </mergeCells>
  <phoneticPr fontId="5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83" fitToHeight="2" orientation="landscape" r:id="rId1"/>
  <headerFooter alignWithMargins="0">
    <oddHeader>&amp;L&amp;"Arial,Dőlt"&amp;U17. melléklet a 3/2014. (II.15.) önkormányzati rendelethez</oddHeader>
    <oddFooter>&amp;C&amp;9 Nagykőrös Város Önkormányzat 2014. évi költségvetési rendeletének I. sz. módosítása</oddFooter>
  </headerFooter>
  <rowBreaks count="1" manualBreakCount="1">
    <brk id="28" max="9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abSelected="1" view="pageLayout" topLeftCell="B1" zoomScaleNormal="100" zoomScaleSheetLayoutView="90" workbookViewId="0">
      <selection activeCell="E7" sqref="E7"/>
    </sheetView>
  </sheetViews>
  <sheetFormatPr defaultRowHeight="15" x14ac:dyDescent="0.2"/>
  <cols>
    <col min="1" max="1" width="4.140625" style="303" customWidth="1"/>
    <col min="2" max="2" width="33.85546875" style="310" customWidth="1"/>
    <col min="3" max="3" width="10" style="310" customWidth="1"/>
    <col min="4" max="4" width="9.5703125" style="310" customWidth="1"/>
    <col min="5" max="5" width="10.140625" style="310" customWidth="1"/>
    <col min="6" max="8" width="9.85546875" style="310" customWidth="1"/>
    <col min="9" max="14" width="10.140625" style="310" customWidth="1"/>
    <col min="15" max="15" width="11.5703125" style="303" customWidth="1"/>
    <col min="16" max="254" width="9.140625" style="310"/>
    <col min="255" max="255" width="4.140625" style="310" customWidth="1"/>
    <col min="256" max="256" width="25.5703125" style="310" customWidth="1"/>
    <col min="257" max="258" width="7.7109375" style="310" customWidth="1"/>
    <col min="259" max="259" width="8.140625" style="310" customWidth="1"/>
    <col min="260" max="260" width="7.5703125" style="310" customWidth="1"/>
    <col min="261" max="261" width="7.42578125" style="310" customWidth="1"/>
    <col min="262" max="262" width="7.5703125" style="310" customWidth="1"/>
    <col min="263" max="263" width="7" style="310" customWidth="1"/>
    <col min="264" max="268" width="8.140625" style="310" customWidth="1"/>
    <col min="269" max="269" width="10.85546875" style="310" customWidth="1"/>
    <col min="270" max="510" width="9.140625" style="310"/>
    <col min="511" max="511" width="4.140625" style="310" customWidth="1"/>
    <col min="512" max="512" width="25.5703125" style="310" customWidth="1"/>
    <col min="513" max="514" width="7.7109375" style="310" customWidth="1"/>
    <col min="515" max="515" width="8.140625" style="310" customWidth="1"/>
    <col min="516" max="516" width="7.5703125" style="310" customWidth="1"/>
    <col min="517" max="517" width="7.42578125" style="310" customWidth="1"/>
    <col min="518" max="518" width="7.5703125" style="310" customWidth="1"/>
    <col min="519" max="519" width="7" style="310" customWidth="1"/>
    <col min="520" max="524" width="8.140625" style="310" customWidth="1"/>
    <col min="525" max="525" width="10.85546875" style="310" customWidth="1"/>
    <col min="526" max="766" width="9.140625" style="310"/>
    <col min="767" max="767" width="4.140625" style="310" customWidth="1"/>
    <col min="768" max="768" width="25.5703125" style="310" customWidth="1"/>
    <col min="769" max="770" width="7.7109375" style="310" customWidth="1"/>
    <col min="771" max="771" width="8.140625" style="310" customWidth="1"/>
    <col min="772" max="772" width="7.5703125" style="310" customWidth="1"/>
    <col min="773" max="773" width="7.42578125" style="310" customWidth="1"/>
    <col min="774" max="774" width="7.5703125" style="310" customWidth="1"/>
    <col min="775" max="775" width="7" style="310" customWidth="1"/>
    <col min="776" max="780" width="8.140625" style="310" customWidth="1"/>
    <col min="781" max="781" width="10.85546875" style="310" customWidth="1"/>
    <col min="782" max="1022" width="9.140625" style="310"/>
    <col min="1023" max="1023" width="4.140625" style="310" customWidth="1"/>
    <col min="1024" max="1024" width="25.5703125" style="310" customWidth="1"/>
    <col min="1025" max="1026" width="7.7109375" style="310" customWidth="1"/>
    <col min="1027" max="1027" width="8.140625" style="310" customWidth="1"/>
    <col min="1028" max="1028" width="7.5703125" style="310" customWidth="1"/>
    <col min="1029" max="1029" width="7.42578125" style="310" customWidth="1"/>
    <col min="1030" max="1030" width="7.5703125" style="310" customWidth="1"/>
    <col min="1031" max="1031" width="7" style="310" customWidth="1"/>
    <col min="1032" max="1036" width="8.140625" style="310" customWidth="1"/>
    <col min="1037" max="1037" width="10.85546875" style="310" customWidth="1"/>
    <col min="1038" max="1278" width="9.140625" style="310"/>
    <col min="1279" max="1279" width="4.140625" style="310" customWidth="1"/>
    <col min="1280" max="1280" width="25.5703125" style="310" customWidth="1"/>
    <col min="1281" max="1282" width="7.7109375" style="310" customWidth="1"/>
    <col min="1283" max="1283" width="8.140625" style="310" customWidth="1"/>
    <col min="1284" max="1284" width="7.5703125" style="310" customWidth="1"/>
    <col min="1285" max="1285" width="7.42578125" style="310" customWidth="1"/>
    <col min="1286" max="1286" width="7.5703125" style="310" customWidth="1"/>
    <col min="1287" max="1287" width="7" style="310" customWidth="1"/>
    <col min="1288" max="1292" width="8.140625" style="310" customWidth="1"/>
    <col min="1293" max="1293" width="10.85546875" style="310" customWidth="1"/>
    <col min="1294" max="1534" width="9.140625" style="310"/>
    <col min="1535" max="1535" width="4.140625" style="310" customWidth="1"/>
    <col min="1536" max="1536" width="25.5703125" style="310" customWidth="1"/>
    <col min="1537" max="1538" width="7.7109375" style="310" customWidth="1"/>
    <col min="1539" max="1539" width="8.140625" style="310" customWidth="1"/>
    <col min="1540" max="1540" width="7.5703125" style="310" customWidth="1"/>
    <col min="1541" max="1541" width="7.42578125" style="310" customWidth="1"/>
    <col min="1542" max="1542" width="7.5703125" style="310" customWidth="1"/>
    <col min="1543" max="1543" width="7" style="310" customWidth="1"/>
    <col min="1544" max="1548" width="8.140625" style="310" customWidth="1"/>
    <col min="1549" max="1549" width="10.85546875" style="310" customWidth="1"/>
    <col min="1550" max="1790" width="9.140625" style="310"/>
    <col min="1791" max="1791" width="4.140625" style="310" customWidth="1"/>
    <col min="1792" max="1792" width="25.5703125" style="310" customWidth="1"/>
    <col min="1793" max="1794" width="7.7109375" style="310" customWidth="1"/>
    <col min="1795" max="1795" width="8.140625" style="310" customWidth="1"/>
    <col min="1796" max="1796" width="7.5703125" style="310" customWidth="1"/>
    <col min="1797" max="1797" width="7.42578125" style="310" customWidth="1"/>
    <col min="1798" max="1798" width="7.5703125" style="310" customWidth="1"/>
    <col min="1799" max="1799" width="7" style="310" customWidth="1"/>
    <col min="1800" max="1804" width="8.140625" style="310" customWidth="1"/>
    <col min="1805" max="1805" width="10.85546875" style="310" customWidth="1"/>
    <col min="1806" max="2046" width="9.140625" style="310"/>
    <col min="2047" max="2047" width="4.140625" style="310" customWidth="1"/>
    <col min="2048" max="2048" width="25.5703125" style="310" customWidth="1"/>
    <col min="2049" max="2050" width="7.7109375" style="310" customWidth="1"/>
    <col min="2051" max="2051" width="8.140625" style="310" customWidth="1"/>
    <col min="2052" max="2052" width="7.5703125" style="310" customWidth="1"/>
    <col min="2053" max="2053" width="7.42578125" style="310" customWidth="1"/>
    <col min="2054" max="2054" width="7.5703125" style="310" customWidth="1"/>
    <col min="2055" max="2055" width="7" style="310" customWidth="1"/>
    <col min="2056" max="2060" width="8.140625" style="310" customWidth="1"/>
    <col min="2061" max="2061" width="10.85546875" style="310" customWidth="1"/>
    <col min="2062" max="2302" width="9.140625" style="310"/>
    <col min="2303" max="2303" width="4.140625" style="310" customWidth="1"/>
    <col min="2304" max="2304" width="25.5703125" style="310" customWidth="1"/>
    <col min="2305" max="2306" width="7.7109375" style="310" customWidth="1"/>
    <col min="2307" max="2307" width="8.140625" style="310" customWidth="1"/>
    <col min="2308" max="2308" width="7.5703125" style="310" customWidth="1"/>
    <col min="2309" max="2309" width="7.42578125" style="310" customWidth="1"/>
    <col min="2310" max="2310" width="7.5703125" style="310" customWidth="1"/>
    <col min="2311" max="2311" width="7" style="310" customWidth="1"/>
    <col min="2312" max="2316" width="8.140625" style="310" customWidth="1"/>
    <col min="2317" max="2317" width="10.85546875" style="310" customWidth="1"/>
    <col min="2318" max="2558" width="9.140625" style="310"/>
    <col min="2559" max="2559" width="4.140625" style="310" customWidth="1"/>
    <col min="2560" max="2560" width="25.5703125" style="310" customWidth="1"/>
    <col min="2561" max="2562" width="7.7109375" style="310" customWidth="1"/>
    <col min="2563" max="2563" width="8.140625" style="310" customWidth="1"/>
    <col min="2564" max="2564" width="7.5703125" style="310" customWidth="1"/>
    <col min="2565" max="2565" width="7.42578125" style="310" customWidth="1"/>
    <col min="2566" max="2566" width="7.5703125" style="310" customWidth="1"/>
    <col min="2567" max="2567" width="7" style="310" customWidth="1"/>
    <col min="2568" max="2572" width="8.140625" style="310" customWidth="1"/>
    <col min="2573" max="2573" width="10.85546875" style="310" customWidth="1"/>
    <col min="2574" max="2814" width="9.140625" style="310"/>
    <col min="2815" max="2815" width="4.140625" style="310" customWidth="1"/>
    <col min="2816" max="2816" width="25.5703125" style="310" customWidth="1"/>
    <col min="2817" max="2818" width="7.7109375" style="310" customWidth="1"/>
    <col min="2819" max="2819" width="8.140625" style="310" customWidth="1"/>
    <col min="2820" max="2820" width="7.5703125" style="310" customWidth="1"/>
    <col min="2821" max="2821" width="7.42578125" style="310" customWidth="1"/>
    <col min="2822" max="2822" width="7.5703125" style="310" customWidth="1"/>
    <col min="2823" max="2823" width="7" style="310" customWidth="1"/>
    <col min="2824" max="2828" width="8.140625" style="310" customWidth="1"/>
    <col min="2829" max="2829" width="10.85546875" style="310" customWidth="1"/>
    <col min="2830" max="3070" width="9.140625" style="310"/>
    <col min="3071" max="3071" width="4.140625" style="310" customWidth="1"/>
    <col min="3072" max="3072" width="25.5703125" style="310" customWidth="1"/>
    <col min="3073" max="3074" width="7.7109375" style="310" customWidth="1"/>
    <col min="3075" max="3075" width="8.140625" style="310" customWidth="1"/>
    <col min="3076" max="3076" width="7.5703125" style="310" customWidth="1"/>
    <col min="3077" max="3077" width="7.42578125" style="310" customWidth="1"/>
    <col min="3078" max="3078" width="7.5703125" style="310" customWidth="1"/>
    <col min="3079" max="3079" width="7" style="310" customWidth="1"/>
    <col min="3080" max="3084" width="8.140625" style="310" customWidth="1"/>
    <col min="3085" max="3085" width="10.85546875" style="310" customWidth="1"/>
    <col min="3086" max="3326" width="9.140625" style="310"/>
    <col min="3327" max="3327" width="4.140625" style="310" customWidth="1"/>
    <col min="3328" max="3328" width="25.5703125" style="310" customWidth="1"/>
    <col min="3329" max="3330" width="7.7109375" style="310" customWidth="1"/>
    <col min="3331" max="3331" width="8.140625" style="310" customWidth="1"/>
    <col min="3332" max="3332" width="7.5703125" style="310" customWidth="1"/>
    <col min="3333" max="3333" width="7.42578125" style="310" customWidth="1"/>
    <col min="3334" max="3334" width="7.5703125" style="310" customWidth="1"/>
    <col min="3335" max="3335" width="7" style="310" customWidth="1"/>
    <col min="3336" max="3340" width="8.140625" style="310" customWidth="1"/>
    <col min="3341" max="3341" width="10.85546875" style="310" customWidth="1"/>
    <col min="3342" max="3582" width="9.140625" style="310"/>
    <col min="3583" max="3583" width="4.140625" style="310" customWidth="1"/>
    <col min="3584" max="3584" width="25.5703125" style="310" customWidth="1"/>
    <col min="3585" max="3586" width="7.7109375" style="310" customWidth="1"/>
    <col min="3587" max="3587" width="8.140625" style="310" customWidth="1"/>
    <col min="3588" max="3588" width="7.5703125" style="310" customWidth="1"/>
    <col min="3589" max="3589" width="7.42578125" style="310" customWidth="1"/>
    <col min="3590" max="3590" width="7.5703125" style="310" customWidth="1"/>
    <col min="3591" max="3591" width="7" style="310" customWidth="1"/>
    <col min="3592" max="3596" width="8.140625" style="310" customWidth="1"/>
    <col min="3597" max="3597" width="10.85546875" style="310" customWidth="1"/>
    <col min="3598" max="3838" width="9.140625" style="310"/>
    <col min="3839" max="3839" width="4.140625" style="310" customWidth="1"/>
    <col min="3840" max="3840" width="25.5703125" style="310" customWidth="1"/>
    <col min="3841" max="3842" width="7.7109375" style="310" customWidth="1"/>
    <col min="3843" max="3843" width="8.140625" style="310" customWidth="1"/>
    <col min="3844" max="3844" width="7.5703125" style="310" customWidth="1"/>
    <col min="3845" max="3845" width="7.42578125" style="310" customWidth="1"/>
    <col min="3846" max="3846" width="7.5703125" style="310" customWidth="1"/>
    <col min="3847" max="3847" width="7" style="310" customWidth="1"/>
    <col min="3848" max="3852" width="8.140625" style="310" customWidth="1"/>
    <col min="3853" max="3853" width="10.85546875" style="310" customWidth="1"/>
    <col min="3854" max="4094" width="9.140625" style="310"/>
    <col min="4095" max="4095" width="4.140625" style="310" customWidth="1"/>
    <col min="4096" max="4096" width="25.5703125" style="310" customWidth="1"/>
    <col min="4097" max="4098" width="7.7109375" style="310" customWidth="1"/>
    <col min="4099" max="4099" width="8.140625" style="310" customWidth="1"/>
    <col min="4100" max="4100" width="7.5703125" style="310" customWidth="1"/>
    <col min="4101" max="4101" width="7.42578125" style="310" customWidth="1"/>
    <col min="4102" max="4102" width="7.5703125" style="310" customWidth="1"/>
    <col min="4103" max="4103" width="7" style="310" customWidth="1"/>
    <col min="4104" max="4108" width="8.140625" style="310" customWidth="1"/>
    <col min="4109" max="4109" width="10.85546875" style="310" customWidth="1"/>
    <col min="4110" max="4350" width="9.140625" style="310"/>
    <col min="4351" max="4351" width="4.140625" style="310" customWidth="1"/>
    <col min="4352" max="4352" width="25.5703125" style="310" customWidth="1"/>
    <col min="4353" max="4354" width="7.7109375" style="310" customWidth="1"/>
    <col min="4355" max="4355" width="8.140625" style="310" customWidth="1"/>
    <col min="4356" max="4356" width="7.5703125" style="310" customWidth="1"/>
    <col min="4357" max="4357" width="7.42578125" style="310" customWidth="1"/>
    <col min="4358" max="4358" width="7.5703125" style="310" customWidth="1"/>
    <col min="4359" max="4359" width="7" style="310" customWidth="1"/>
    <col min="4360" max="4364" width="8.140625" style="310" customWidth="1"/>
    <col min="4365" max="4365" width="10.85546875" style="310" customWidth="1"/>
    <col min="4366" max="4606" width="9.140625" style="310"/>
    <col min="4607" max="4607" width="4.140625" style="310" customWidth="1"/>
    <col min="4608" max="4608" width="25.5703125" style="310" customWidth="1"/>
    <col min="4609" max="4610" width="7.7109375" style="310" customWidth="1"/>
    <col min="4611" max="4611" width="8.140625" style="310" customWidth="1"/>
    <col min="4612" max="4612" width="7.5703125" style="310" customWidth="1"/>
    <col min="4613" max="4613" width="7.42578125" style="310" customWidth="1"/>
    <col min="4614" max="4614" width="7.5703125" style="310" customWidth="1"/>
    <col min="4615" max="4615" width="7" style="310" customWidth="1"/>
    <col min="4616" max="4620" width="8.140625" style="310" customWidth="1"/>
    <col min="4621" max="4621" width="10.85546875" style="310" customWidth="1"/>
    <col min="4622" max="4862" width="9.140625" style="310"/>
    <col min="4863" max="4863" width="4.140625" style="310" customWidth="1"/>
    <col min="4864" max="4864" width="25.5703125" style="310" customWidth="1"/>
    <col min="4865" max="4866" width="7.7109375" style="310" customWidth="1"/>
    <col min="4867" max="4867" width="8.140625" style="310" customWidth="1"/>
    <col min="4868" max="4868" width="7.5703125" style="310" customWidth="1"/>
    <col min="4869" max="4869" width="7.42578125" style="310" customWidth="1"/>
    <col min="4870" max="4870" width="7.5703125" style="310" customWidth="1"/>
    <col min="4871" max="4871" width="7" style="310" customWidth="1"/>
    <col min="4872" max="4876" width="8.140625" style="310" customWidth="1"/>
    <col min="4877" max="4877" width="10.85546875" style="310" customWidth="1"/>
    <col min="4878" max="5118" width="9.140625" style="310"/>
    <col min="5119" max="5119" width="4.140625" style="310" customWidth="1"/>
    <col min="5120" max="5120" width="25.5703125" style="310" customWidth="1"/>
    <col min="5121" max="5122" width="7.7109375" style="310" customWidth="1"/>
    <col min="5123" max="5123" width="8.140625" style="310" customWidth="1"/>
    <col min="5124" max="5124" width="7.5703125" style="310" customWidth="1"/>
    <col min="5125" max="5125" width="7.42578125" style="310" customWidth="1"/>
    <col min="5126" max="5126" width="7.5703125" style="310" customWidth="1"/>
    <col min="5127" max="5127" width="7" style="310" customWidth="1"/>
    <col min="5128" max="5132" width="8.140625" style="310" customWidth="1"/>
    <col min="5133" max="5133" width="10.85546875" style="310" customWidth="1"/>
    <col min="5134" max="5374" width="9.140625" style="310"/>
    <col min="5375" max="5375" width="4.140625" style="310" customWidth="1"/>
    <col min="5376" max="5376" width="25.5703125" style="310" customWidth="1"/>
    <col min="5377" max="5378" width="7.7109375" style="310" customWidth="1"/>
    <col min="5379" max="5379" width="8.140625" style="310" customWidth="1"/>
    <col min="5380" max="5380" width="7.5703125" style="310" customWidth="1"/>
    <col min="5381" max="5381" width="7.42578125" style="310" customWidth="1"/>
    <col min="5382" max="5382" width="7.5703125" style="310" customWidth="1"/>
    <col min="5383" max="5383" width="7" style="310" customWidth="1"/>
    <col min="5384" max="5388" width="8.140625" style="310" customWidth="1"/>
    <col min="5389" max="5389" width="10.85546875" style="310" customWidth="1"/>
    <col min="5390" max="5630" width="9.140625" style="310"/>
    <col min="5631" max="5631" width="4.140625" style="310" customWidth="1"/>
    <col min="5632" max="5632" width="25.5703125" style="310" customWidth="1"/>
    <col min="5633" max="5634" width="7.7109375" style="310" customWidth="1"/>
    <col min="5635" max="5635" width="8.140625" style="310" customWidth="1"/>
    <col min="5636" max="5636" width="7.5703125" style="310" customWidth="1"/>
    <col min="5637" max="5637" width="7.42578125" style="310" customWidth="1"/>
    <col min="5638" max="5638" width="7.5703125" style="310" customWidth="1"/>
    <col min="5639" max="5639" width="7" style="310" customWidth="1"/>
    <col min="5640" max="5644" width="8.140625" style="310" customWidth="1"/>
    <col min="5645" max="5645" width="10.85546875" style="310" customWidth="1"/>
    <col min="5646" max="5886" width="9.140625" style="310"/>
    <col min="5887" max="5887" width="4.140625" style="310" customWidth="1"/>
    <col min="5888" max="5888" width="25.5703125" style="310" customWidth="1"/>
    <col min="5889" max="5890" width="7.7109375" style="310" customWidth="1"/>
    <col min="5891" max="5891" width="8.140625" style="310" customWidth="1"/>
    <col min="5892" max="5892" width="7.5703125" style="310" customWidth="1"/>
    <col min="5893" max="5893" width="7.42578125" style="310" customWidth="1"/>
    <col min="5894" max="5894" width="7.5703125" style="310" customWidth="1"/>
    <col min="5895" max="5895" width="7" style="310" customWidth="1"/>
    <col min="5896" max="5900" width="8.140625" style="310" customWidth="1"/>
    <col min="5901" max="5901" width="10.85546875" style="310" customWidth="1"/>
    <col min="5902" max="6142" width="9.140625" style="310"/>
    <col min="6143" max="6143" width="4.140625" style="310" customWidth="1"/>
    <col min="6144" max="6144" width="25.5703125" style="310" customWidth="1"/>
    <col min="6145" max="6146" width="7.7109375" style="310" customWidth="1"/>
    <col min="6147" max="6147" width="8.140625" style="310" customWidth="1"/>
    <col min="6148" max="6148" width="7.5703125" style="310" customWidth="1"/>
    <col min="6149" max="6149" width="7.42578125" style="310" customWidth="1"/>
    <col min="6150" max="6150" width="7.5703125" style="310" customWidth="1"/>
    <col min="6151" max="6151" width="7" style="310" customWidth="1"/>
    <col min="6152" max="6156" width="8.140625" style="310" customWidth="1"/>
    <col min="6157" max="6157" width="10.85546875" style="310" customWidth="1"/>
    <col min="6158" max="6398" width="9.140625" style="310"/>
    <col min="6399" max="6399" width="4.140625" style="310" customWidth="1"/>
    <col min="6400" max="6400" width="25.5703125" style="310" customWidth="1"/>
    <col min="6401" max="6402" width="7.7109375" style="310" customWidth="1"/>
    <col min="6403" max="6403" width="8.140625" style="310" customWidth="1"/>
    <col min="6404" max="6404" width="7.5703125" style="310" customWidth="1"/>
    <col min="6405" max="6405" width="7.42578125" style="310" customWidth="1"/>
    <col min="6406" max="6406" width="7.5703125" style="310" customWidth="1"/>
    <col min="6407" max="6407" width="7" style="310" customWidth="1"/>
    <col min="6408" max="6412" width="8.140625" style="310" customWidth="1"/>
    <col min="6413" max="6413" width="10.85546875" style="310" customWidth="1"/>
    <col min="6414" max="6654" width="9.140625" style="310"/>
    <col min="6655" max="6655" width="4.140625" style="310" customWidth="1"/>
    <col min="6656" max="6656" width="25.5703125" style="310" customWidth="1"/>
    <col min="6657" max="6658" width="7.7109375" style="310" customWidth="1"/>
    <col min="6659" max="6659" width="8.140625" style="310" customWidth="1"/>
    <col min="6660" max="6660" width="7.5703125" style="310" customWidth="1"/>
    <col min="6661" max="6661" width="7.42578125" style="310" customWidth="1"/>
    <col min="6662" max="6662" width="7.5703125" style="310" customWidth="1"/>
    <col min="6663" max="6663" width="7" style="310" customWidth="1"/>
    <col min="6664" max="6668" width="8.140625" style="310" customWidth="1"/>
    <col min="6669" max="6669" width="10.85546875" style="310" customWidth="1"/>
    <col min="6670" max="6910" width="9.140625" style="310"/>
    <col min="6911" max="6911" width="4.140625" style="310" customWidth="1"/>
    <col min="6912" max="6912" width="25.5703125" style="310" customWidth="1"/>
    <col min="6913" max="6914" width="7.7109375" style="310" customWidth="1"/>
    <col min="6915" max="6915" width="8.140625" style="310" customWidth="1"/>
    <col min="6916" max="6916" width="7.5703125" style="310" customWidth="1"/>
    <col min="6917" max="6917" width="7.42578125" style="310" customWidth="1"/>
    <col min="6918" max="6918" width="7.5703125" style="310" customWidth="1"/>
    <col min="6919" max="6919" width="7" style="310" customWidth="1"/>
    <col min="6920" max="6924" width="8.140625" style="310" customWidth="1"/>
    <col min="6925" max="6925" width="10.85546875" style="310" customWidth="1"/>
    <col min="6926" max="7166" width="9.140625" style="310"/>
    <col min="7167" max="7167" width="4.140625" style="310" customWidth="1"/>
    <col min="7168" max="7168" width="25.5703125" style="310" customWidth="1"/>
    <col min="7169" max="7170" width="7.7109375" style="310" customWidth="1"/>
    <col min="7171" max="7171" width="8.140625" style="310" customWidth="1"/>
    <col min="7172" max="7172" width="7.5703125" style="310" customWidth="1"/>
    <col min="7173" max="7173" width="7.42578125" style="310" customWidth="1"/>
    <col min="7174" max="7174" width="7.5703125" style="310" customWidth="1"/>
    <col min="7175" max="7175" width="7" style="310" customWidth="1"/>
    <col min="7176" max="7180" width="8.140625" style="310" customWidth="1"/>
    <col min="7181" max="7181" width="10.85546875" style="310" customWidth="1"/>
    <col min="7182" max="7422" width="9.140625" style="310"/>
    <col min="7423" max="7423" width="4.140625" style="310" customWidth="1"/>
    <col min="7424" max="7424" width="25.5703125" style="310" customWidth="1"/>
    <col min="7425" max="7426" width="7.7109375" style="310" customWidth="1"/>
    <col min="7427" max="7427" width="8.140625" style="310" customWidth="1"/>
    <col min="7428" max="7428" width="7.5703125" style="310" customWidth="1"/>
    <col min="7429" max="7429" width="7.42578125" style="310" customWidth="1"/>
    <col min="7430" max="7430" width="7.5703125" style="310" customWidth="1"/>
    <col min="7431" max="7431" width="7" style="310" customWidth="1"/>
    <col min="7432" max="7436" width="8.140625" style="310" customWidth="1"/>
    <col min="7437" max="7437" width="10.85546875" style="310" customWidth="1"/>
    <col min="7438" max="7678" width="9.140625" style="310"/>
    <col min="7679" max="7679" width="4.140625" style="310" customWidth="1"/>
    <col min="7680" max="7680" width="25.5703125" style="310" customWidth="1"/>
    <col min="7681" max="7682" width="7.7109375" style="310" customWidth="1"/>
    <col min="7683" max="7683" width="8.140625" style="310" customWidth="1"/>
    <col min="7684" max="7684" width="7.5703125" style="310" customWidth="1"/>
    <col min="7685" max="7685" width="7.42578125" style="310" customWidth="1"/>
    <col min="7686" max="7686" width="7.5703125" style="310" customWidth="1"/>
    <col min="7687" max="7687" width="7" style="310" customWidth="1"/>
    <col min="7688" max="7692" width="8.140625" style="310" customWidth="1"/>
    <col min="7693" max="7693" width="10.85546875" style="310" customWidth="1"/>
    <col min="7694" max="7934" width="9.140625" style="310"/>
    <col min="7935" max="7935" width="4.140625" style="310" customWidth="1"/>
    <col min="7936" max="7936" width="25.5703125" style="310" customWidth="1"/>
    <col min="7937" max="7938" width="7.7109375" style="310" customWidth="1"/>
    <col min="7939" max="7939" width="8.140625" style="310" customWidth="1"/>
    <col min="7940" max="7940" width="7.5703125" style="310" customWidth="1"/>
    <col min="7941" max="7941" width="7.42578125" style="310" customWidth="1"/>
    <col min="7942" max="7942" width="7.5703125" style="310" customWidth="1"/>
    <col min="7943" max="7943" width="7" style="310" customWidth="1"/>
    <col min="7944" max="7948" width="8.140625" style="310" customWidth="1"/>
    <col min="7949" max="7949" width="10.85546875" style="310" customWidth="1"/>
    <col min="7950" max="8190" width="9.140625" style="310"/>
    <col min="8191" max="8191" width="4.140625" style="310" customWidth="1"/>
    <col min="8192" max="8192" width="25.5703125" style="310" customWidth="1"/>
    <col min="8193" max="8194" width="7.7109375" style="310" customWidth="1"/>
    <col min="8195" max="8195" width="8.140625" style="310" customWidth="1"/>
    <col min="8196" max="8196" width="7.5703125" style="310" customWidth="1"/>
    <col min="8197" max="8197" width="7.42578125" style="310" customWidth="1"/>
    <col min="8198" max="8198" width="7.5703125" style="310" customWidth="1"/>
    <col min="8199" max="8199" width="7" style="310" customWidth="1"/>
    <col min="8200" max="8204" width="8.140625" style="310" customWidth="1"/>
    <col min="8205" max="8205" width="10.85546875" style="310" customWidth="1"/>
    <col min="8206" max="8446" width="9.140625" style="310"/>
    <col min="8447" max="8447" width="4.140625" style="310" customWidth="1"/>
    <col min="8448" max="8448" width="25.5703125" style="310" customWidth="1"/>
    <col min="8449" max="8450" width="7.7109375" style="310" customWidth="1"/>
    <col min="8451" max="8451" width="8.140625" style="310" customWidth="1"/>
    <col min="8452" max="8452" width="7.5703125" style="310" customWidth="1"/>
    <col min="8453" max="8453" width="7.42578125" style="310" customWidth="1"/>
    <col min="8454" max="8454" width="7.5703125" style="310" customWidth="1"/>
    <col min="8455" max="8455" width="7" style="310" customWidth="1"/>
    <col min="8456" max="8460" width="8.140625" style="310" customWidth="1"/>
    <col min="8461" max="8461" width="10.85546875" style="310" customWidth="1"/>
    <col min="8462" max="8702" width="9.140625" style="310"/>
    <col min="8703" max="8703" width="4.140625" style="310" customWidth="1"/>
    <col min="8704" max="8704" width="25.5703125" style="310" customWidth="1"/>
    <col min="8705" max="8706" width="7.7109375" style="310" customWidth="1"/>
    <col min="8707" max="8707" width="8.140625" style="310" customWidth="1"/>
    <col min="8708" max="8708" width="7.5703125" style="310" customWidth="1"/>
    <col min="8709" max="8709" width="7.42578125" style="310" customWidth="1"/>
    <col min="8710" max="8710" width="7.5703125" style="310" customWidth="1"/>
    <col min="8711" max="8711" width="7" style="310" customWidth="1"/>
    <col min="8712" max="8716" width="8.140625" style="310" customWidth="1"/>
    <col min="8717" max="8717" width="10.85546875" style="310" customWidth="1"/>
    <col min="8718" max="8958" width="9.140625" style="310"/>
    <col min="8959" max="8959" width="4.140625" style="310" customWidth="1"/>
    <col min="8960" max="8960" width="25.5703125" style="310" customWidth="1"/>
    <col min="8961" max="8962" width="7.7109375" style="310" customWidth="1"/>
    <col min="8963" max="8963" width="8.140625" style="310" customWidth="1"/>
    <col min="8964" max="8964" width="7.5703125" style="310" customWidth="1"/>
    <col min="8965" max="8965" width="7.42578125" style="310" customWidth="1"/>
    <col min="8966" max="8966" width="7.5703125" style="310" customWidth="1"/>
    <col min="8967" max="8967" width="7" style="310" customWidth="1"/>
    <col min="8968" max="8972" width="8.140625" style="310" customWidth="1"/>
    <col min="8973" max="8973" width="10.85546875" style="310" customWidth="1"/>
    <col min="8974" max="9214" width="9.140625" style="310"/>
    <col min="9215" max="9215" width="4.140625" style="310" customWidth="1"/>
    <col min="9216" max="9216" width="25.5703125" style="310" customWidth="1"/>
    <col min="9217" max="9218" width="7.7109375" style="310" customWidth="1"/>
    <col min="9219" max="9219" width="8.140625" style="310" customWidth="1"/>
    <col min="9220" max="9220" width="7.5703125" style="310" customWidth="1"/>
    <col min="9221" max="9221" width="7.42578125" style="310" customWidth="1"/>
    <col min="9222" max="9222" width="7.5703125" style="310" customWidth="1"/>
    <col min="9223" max="9223" width="7" style="310" customWidth="1"/>
    <col min="9224" max="9228" width="8.140625" style="310" customWidth="1"/>
    <col min="9229" max="9229" width="10.85546875" style="310" customWidth="1"/>
    <col min="9230" max="9470" width="9.140625" style="310"/>
    <col min="9471" max="9471" width="4.140625" style="310" customWidth="1"/>
    <col min="9472" max="9472" width="25.5703125" style="310" customWidth="1"/>
    <col min="9473" max="9474" width="7.7109375" style="310" customWidth="1"/>
    <col min="9475" max="9475" width="8.140625" style="310" customWidth="1"/>
    <col min="9476" max="9476" width="7.5703125" style="310" customWidth="1"/>
    <col min="9477" max="9477" width="7.42578125" style="310" customWidth="1"/>
    <col min="9478" max="9478" width="7.5703125" style="310" customWidth="1"/>
    <col min="9479" max="9479" width="7" style="310" customWidth="1"/>
    <col min="9480" max="9484" width="8.140625" style="310" customWidth="1"/>
    <col min="9485" max="9485" width="10.85546875" style="310" customWidth="1"/>
    <col min="9486" max="9726" width="9.140625" style="310"/>
    <col min="9727" max="9727" width="4.140625" style="310" customWidth="1"/>
    <col min="9728" max="9728" width="25.5703125" style="310" customWidth="1"/>
    <col min="9729" max="9730" width="7.7109375" style="310" customWidth="1"/>
    <col min="9731" max="9731" width="8.140625" style="310" customWidth="1"/>
    <col min="9732" max="9732" width="7.5703125" style="310" customWidth="1"/>
    <col min="9733" max="9733" width="7.42578125" style="310" customWidth="1"/>
    <col min="9734" max="9734" width="7.5703125" style="310" customWidth="1"/>
    <col min="9735" max="9735" width="7" style="310" customWidth="1"/>
    <col min="9736" max="9740" width="8.140625" style="310" customWidth="1"/>
    <col min="9741" max="9741" width="10.85546875" style="310" customWidth="1"/>
    <col min="9742" max="9982" width="9.140625" style="310"/>
    <col min="9983" max="9983" width="4.140625" style="310" customWidth="1"/>
    <col min="9984" max="9984" width="25.5703125" style="310" customWidth="1"/>
    <col min="9985" max="9986" width="7.7109375" style="310" customWidth="1"/>
    <col min="9987" max="9987" width="8.140625" style="310" customWidth="1"/>
    <col min="9988" max="9988" width="7.5703125" style="310" customWidth="1"/>
    <col min="9989" max="9989" width="7.42578125" style="310" customWidth="1"/>
    <col min="9990" max="9990" width="7.5703125" style="310" customWidth="1"/>
    <col min="9991" max="9991" width="7" style="310" customWidth="1"/>
    <col min="9992" max="9996" width="8.140625" style="310" customWidth="1"/>
    <col min="9997" max="9997" width="10.85546875" style="310" customWidth="1"/>
    <col min="9998" max="10238" width="9.140625" style="310"/>
    <col min="10239" max="10239" width="4.140625" style="310" customWidth="1"/>
    <col min="10240" max="10240" width="25.5703125" style="310" customWidth="1"/>
    <col min="10241" max="10242" width="7.7109375" style="310" customWidth="1"/>
    <col min="10243" max="10243" width="8.140625" style="310" customWidth="1"/>
    <col min="10244" max="10244" width="7.5703125" style="310" customWidth="1"/>
    <col min="10245" max="10245" width="7.42578125" style="310" customWidth="1"/>
    <col min="10246" max="10246" width="7.5703125" style="310" customWidth="1"/>
    <col min="10247" max="10247" width="7" style="310" customWidth="1"/>
    <col min="10248" max="10252" width="8.140625" style="310" customWidth="1"/>
    <col min="10253" max="10253" width="10.85546875" style="310" customWidth="1"/>
    <col min="10254" max="10494" width="9.140625" style="310"/>
    <col min="10495" max="10495" width="4.140625" style="310" customWidth="1"/>
    <col min="10496" max="10496" width="25.5703125" style="310" customWidth="1"/>
    <col min="10497" max="10498" width="7.7109375" style="310" customWidth="1"/>
    <col min="10499" max="10499" width="8.140625" style="310" customWidth="1"/>
    <col min="10500" max="10500" width="7.5703125" style="310" customWidth="1"/>
    <col min="10501" max="10501" width="7.42578125" style="310" customWidth="1"/>
    <col min="10502" max="10502" width="7.5703125" style="310" customWidth="1"/>
    <col min="10503" max="10503" width="7" style="310" customWidth="1"/>
    <col min="10504" max="10508" width="8.140625" style="310" customWidth="1"/>
    <col min="10509" max="10509" width="10.85546875" style="310" customWidth="1"/>
    <col min="10510" max="10750" width="9.140625" style="310"/>
    <col min="10751" max="10751" width="4.140625" style="310" customWidth="1"/>
    <col min="10752" max="10752" width="25.5703125" style="310" customWidth="1"/>
    <col min="10753" max="10754" width="7.7109375" style="310" customWidth="1"/>
    <col min="10755" max="10755" width="8.140625" style="310" customWidth="1"/>
    <col min="10756" max="10756" width="7.5703125" style="310" customWidth="1"/>
    <col min="10757" max="10757" width="7.42578125" style="310" customWidth="1"/>
    <col min="10758" max="10758" width="7.5703125" style="310" customWidth="1"/>
    <col min="10759" max="10759" width="7" style="310" customWidth="1"/>
    <col min="10760" max="10764" width="8.140625" style="310" customWidth="1"/>
    <col min="10765" max="10765" width="10.85546875" style="310" customWidth="1"/>
    <col min="10766" max="11006" width="9.140625" style="310"/>
    <col min="11007" max="11007" width="4.140625" style="310" customWidth="1"/>
    <col min="11008" max="11008" width="25.5703125" style="310" customWidth="1"/>
    <col min="11009" max="11010" width="7.7109375" style="310" customWidth="1"/>
    <col min="11011" max="11011" width="8.140625" style="310" customWidth="1"/>
    <col min="11012" max="11012" width="7.5703125" style="310" customWidth="1"/>
    <col min="11013" max="11013" width="7.42578125" style="310" customWidth="1"/>
    <col min="11014" max="11014" width="7.5703125" style="310" customWidth="1"/>
    <col min="11015" max="11015" width="7" style="310" customWidth="1"/>
    <col min="11016" max="11020" width="8.140625" style="310" customWidth="1"/>
    <col min="11021" max="11021" width="10.85546875" style="310" customWidth="1"/>
    <col min="11022" max="11262" width="9.140625" style="310"/>
    <col min="11263" max="11263" width="4.140625" style="310" customWidth="1"/>
    <col min="11264" max="11264" width="25.5703125" style="310" customWidth="1"/>
    <col min="11265" max="11266" width="7.7109375" style="310" customWidth="1"/>
    <col min="11267" max="11267" width="8.140625" style="310" customWidth="1"/>
    <col min="11268" max="11268" width="7.5703125" style="310" customWidth="1"/>
    <col min="11269" max="11269" width="7.42578125" style="310" customWidth="1"/>
    <col min="11270" max="11270" width="7.5703125" style="310" customWidth="1"/>
    <col min="11271" max="11271" width="7" style="310" customWidth="1"/>
    <col min="11272" max="11276" width="8.140625" style="310" customWidth="1"/>
    <col min="11277" max="11277" width="10.85546875" style="310" customWidth="1"/>
    <col min="11278" max="11518" width="9.140625" style="310"/>
    <col min="11519" max="11519" width="4.140625" style="310" customWidth="1"/>
    <col min="11520" max="11520" width="25.5703125" style="310" customWidth="1"/>
    <col min="11521" max="11522" width="7.7109375" style="310" customWidth="1"/>
    <col min="11523" max="11523" width="8.140625" style="310" customWidth="1"/>
    <col min="11524" max="11524" width="7.5703125" style="310" customWidth="1"/>
    <col min="11525" max="11525" width="7.42578125" style="310" customWidth="1"/>
    <col min="11526" max="11526" width="7.5703125" style="310" customWidth="1"/>
    <col min="11527" max="11527" width="7" style="310" customWidth="1"/>
    <col min="11528" max="11532" width="8.140625" style="310" customWidth="1"/>
    <col min="11533" max="11533" width="10.85546875" style="310" customWidth="1"/>
    <col min="11534" max="11774" width="9.140625" style="310"/>
    <col min="11775" max="11775" width="4.140625" style="310" customWidth="1"/>
    <col min="11776" max="11776" width="25.5703125" style="310" customWidth="1"/>
    <col min="11777" max="11778" width="7.7109375" style="310" customWidth="1"/>
    <col min="11779" max="11779" width="8.140625" style="310" customWidth="1"/>
    <col min="11780" max="11780" width="7.5703125" style="310" customWidth="1"/>
    <col min="11781" max="11781" width="7.42578125" style="310" customWidth="1"/>
    <col min="11782" max="11782" width="7.5703125" style="310" customWidth="1"/>
    <col min="11783" max="11783" width="7" style="310" customWidth="1"/>
    <col min="11784" max="11788" width="8.140625" style="310" customWidth="1"/>
    <col min="11789" max="11789" width="10.85546875" style="310" customWidth="1"/>
    <col min="11790" max="12030" width="9.140625" style="310"/>
    <col min="12031" max="12031" width="4.140625" style="310" customWidth="1"/>
    <col min="12032" max="12032" width="25.5703125" style="310" customWidth="1"/>
    <col min="12033" max="12034" width="7.7109375" style="310" customWidth="1"/>
    <col min="12035" max="12035" width="8.140625" style="310" customWidth="1"/>
    <col min="12036" max="12036" width="7.5703125" style="310" customWidth="1"/>
    <col min="12037" max="12037" width="7.42578125" style="310" customWidth="1"/>
    <col min="12038" max="12038" width="7.5703125" style="310" customWidth="1"/>
    <col min="12039" max="12039" width="7" style="310" customWidth="1"/>
    <col min="12040" max="12044" width="8.140625" style="310" customWidth="1"/>
    <col min="12045" max="12045" width="10.85546875" style="310" customWidth="1"/>
    <col min="12046" max="12286" width="9.140625" style="310"/>
    <col min="12287" max="12287" width="4.140625" style="310" customWidth="1"/>
    <col min="12288" max="12288" width="25.5703125" style="310" customWidth="1"/>
    <col min="12289" max="12290" width="7.7109375" style="310" customWidth="1"/>
    <col min="12291" max="12291" width="8.140625" style="310" customWidth="1"/>
    <col min="12292" max="12292" width="7.5703125" style="310" customWidth="1"/>
    <col min="12293" max="12293" width="7.42578125" style="310" customWidth="1"/>
    <col min="12294" max="12294" width="7.5703125" style="310" customWidth="1"/>
    <col min="12295" max="12295" width="7" style="310" customWidth="1"/>
    <col min="12296" max="12300" width="8.140625" style="310" customWidth="1"/>
    <col min="12301" max="12301" width="10.85546875" style="310" customWidth="1"/>
    <col min="12302" max="12542" width="9.140625" style="310"/>
    <col min="12543" max="12543" width="4.140625" style="310" customWidth="1"/>
    <col min="12544" max="12544" width="25.5703125" style="310" customWidth="1"/>
    <col min="12545" max="12546" width="7.7109375" style="310" customWidth="1"/>
    <col min="12547" max="12547" width="8.140625" style="310" customWidth="1"/>
    <col min="12548" max="12548" width="7.5703125" style="310" customWidth="1"/>
    <col min="12549" max="12549" width="7.42578125" style="310" customWidth="1"/>
    <col min="12550" max="12550" width="7.5703125" style="310" customWidth="1"/>
    <col min="12551" max="12551" width="7" style="310" customWidth="1"/>
    <col min="12552" max="12556" width="8.140625" style="310" customWidth="1"/>
    <col min="12557" max="12557" width="10.85546875" style="310" customWidth="1"/>
    <col min="12558" max="12798" width="9.140625" style="310"/>
    <col min="12799" max="12799" width="4.140625" style="310" customWidth="1"/>
    <col min="12800" max="12800" width="25.5703125" style="310" customWidth="1"/>
    <col min="12801" max="12802" width="7.7109375" style="310" customWidth="1"/>
    <col min="12803" max="12803" width="8.140625" style="310" customWidth="1"/>
    <col min="12804" max="12804" width="7.5703125" style="310" customWidth="1"/>
    <col min="12805" max="12805" width="7.42578125" style="310" customWidth="1"/>
    <col min="12806" max="12806" width="7.5703125" style="310" customWidth="1"/>
    <col min="12807" max="12807" width="7" style="310" customWidth="1"/>
    <col min="12808" max="12812" width="8.140625" style="310" customWidth="1"/>
    <col min="12813" max="12813" width="10.85546875" style="310" customWidth="1"/>
    <col min="12814" max="13054" width="9.140625" style="310"/>
    <col min="13055" max="13055" width="4.140625" style="310" customWidth="1"/>
    <col min="13056" max="13056" width="25.5703125" style="310" customWidth="1"/>
    <col min="13057" max="13058" width="7.7109375" style="310" customWidth="1"/>
    <col min="13059" max="13059" width="8.140625" style="310" customWidth="1"/>
    <col min="13060" max="13060" width="7.5703125" style="310" customWidth="1"/>
    <col min="13061" max="13061" width="7.42578125" style="310" customWidth="1"/>
    <col min="13062" max="13062" width="7.5703125" style="310" customWidth="1"/>
    <col min="13063" max="13063" width="7" style="310" customWidth="1"/>
    <col min="13064" max="13068" width="8.140625" style="310" customWidth="1"/>
    <col min="13069" max="13069" width="10.85546875" style="310" customWidth="1"/>
    <col min="13070" max="13310" width="9.140625" style="310"/>
    <col min="13311" max="13311" width="4.140625" style="310" customWidth="1"/>
    <col min="13312" max="13312" width="25.5703125" style="310" customWidth="1"/>
    <col min="13313" max="13314" width="7.7109375" style="310" customWidth="1"/>
    <col min="13315" max="13315" width="8.140625" style="310" customWidth="1"/>
    <col min="13316" max="13316" width="7.5703125" style="310" customWidth="1"/>
    <col min="13317" max="13317" width="7.42578125" style="310" customWidth="1"/>
    <col min="13318" max="13318" width="7.5703125" style="310" customWidth="1"/>
    <col min="13319" max="13319" width="7" style="310" customWidth="1"/>
    <col min="13320" max="13324" width="8.140625" style="310" customWidth="1"/>
    <col min="13325" max="13325" width="10.85546875" style="310" customWidth="1"/>
    <col min="13326" max="13566" width="9.140625" style="310"/>
    <col min="13567" max="13567" width="4.140625" style="310" customWidth="1"/>
    <col min="13568" max="13568" width="25.5703125" style="310" customWidth="1"/>
    <col min="13569" max="13570" width="7.7109375" style="310" customWidth="1"/>
    <col min="13571" max="13571" width="8.140625" style="310" customWidth="1"/>
    <col min="13572" max="13572" width="7.5703125" style="310" customWidth="1"/>
    <col min="13573" max="13573" width="7.42578125" style="310" customWidth="1"/>
    <col min="13574" max="13574" width="7.5703125" style="310" customWidth="1"/>
    <col min="13575" max="13575" width="7" style="310" customWidth="1"/>
    <col min="13576" max="13580" width="8.140625" style="310" customWidth="1"/>
    <col min="13581" max="13581" width="10.85546875" style="310" customWidth="1"/>
    <col min="13582" max="13822" width="9.140625" style="310"/>
    <col min="13823" max="13823" width="4.140625" style="310" customWidth="1"/>
    <col min="13824" max="13824" width="25.5703125" style="310" customWidth="1"/>
    <col min="13825" max="13826" width="7.7109375" style="310" customWidth="1"/>
    <col min="13827" max="13827" width="8.140625" style="310" customWidth="1"/>
    <col min="13828" max="13828" width="7.5703125" style="310" customWidth="1"/>
    <col min="13829" max="13829" width="7.42578125" style="310" customWidth="1"/>
    <col min="13830" max="13830" width="7.5703125" style="310" customWidth="1"/>
    <col min="13831" max="13831" width="7" style="310" customWidth="1"/>
    <col min="13832" max="13836" width="8.140625" style="310" customWidth="1"/>
    <col min="13837" max="13837" width="10.85546875" style="310" customWidth="1"/>
    <col min="13838" max="14078" width="9.140625" style="310"/>
    <col min="14079" max="14079" width="4.140625" style="310" customWidth="1"/>
    <col min="14080" max="14080" width="25.5703125" style="310" customWidth="1"/>
    <col min="14081" max="14082" width="7.7109375" style="310" customWidth="1"/>
    <col min="14083" max="14083" width="8.140625" style="310" customWidth="1"/>
    <col min="14084" max="14084" width="7.5703125" style="310" customWidth="1"/>
    <col min="14085" max="14085" width="7.42578125" style="310" customWidth="1"/>
    <col min="14086" max="14086" width="7.5703125" style="310" customWidth="1"/>
    <col min="14087" max="14087" width="7" style="310" customWidth="1"/>
    <col min="14088" max="14092" width="8.140625" style="310" customWidth="1"/>
    <col min="14093" max="14093" width="10.85546875" style="310" customWidth="1"/>
    <col min="14094" max="14334" width="9.140625" style="310"/>
    <col min="14335" max="14335" width="4.140625" style="310" customWidth="1"/>
    <col min="14336" max="14336" width="25.5703125" style="310" customWidth="1"/>
    <col min="14337" max="14338" width="7.7109375" style="310" customWidth="1"/>
    <col min="14339" max="14339" width="8.140625" style="310" customWidth="1"/>
    <col min="14340" max="14340" width="7.5703125" style="310" customWidth="1"/>
    <col min="14341" max="14341" width="7.42578125" style="310" customWidth="1"/>
    <col min="14342" max="14342" width="7.5703125" style="310" customWidth="1"/>
    <col min="14343" max="14343" width="7" style="310" customWidth="1"/>
    <col min="14344" max="14348" width="8.140625" style="310" customWidth="1"/>
    <col min="14349" max="14349" width="10.85546875" style="310" customWidth="1"/>
    <col min="14350" max="14590" width="9.140625" style="310"/>
    <col min="14591" max="14591" width="4.140625" style="310" customWidth="1"/>
    <col min="14592" max="14592" width="25.5703125" style="310" customWidth="1"/>
    <col min="14593" max="14594" width="7.7109375" style="310" customWidth="1"/>
    <col min="14595" max="14595" width="8.140625" style="310" customWidth="1"/>
    <col min="14596" max="14596" width="7.5703125" style="310" customWidth="1"/>
    <col min="14597" max="14597" width="7.42578125" style="310" customWidth="1"/>
    <col min="14598" max="14598" width="7.5703125" style="310" customWidth="1"/>
    <col min="14599" max="14599" width="7" style="310" customWidth="1"/>
    <col min="14600" max="14604" width="8.140625" style="310" customWidth="1"/>
    <col min="14605" max="14605" width="10.85546875" style="310" customWidth="1"/>
    <col min="14606" max="14846" width="9.140625" style="310"/>
    <col min="14847" max="14847" width="4.140625" style="310" customWidth="1"/>
    <col min="14848" max="14848" width="25.5703125" style="310" customWidth="1"/>
    <col min="14849" max="14850" width="7.7109375" style="310" customWidth="1"/>
    <col min="14851" max="14851" width="8.140625" style="310" customWidth="1"/>
    <col min="14852" max="14852" width="7.5703125" style="310" customWidth="1"/>
    <col min="14853" max="14853" width="7.42578125" style="310" customWidth="1"/>
    <col min="14854" max="14854" width="7.5703125" style="310" customWidth="1"/>
    <col min="14855" max="14855" width="7" style="310" customWidth="1"/>
    <col min="14856" max="14860" width="8.140625" style="310" customWidth="1"/>
    <col min="14861" max="14861" width="10.85546875" style="310" customWidth="1"/>
    <col min="14862" max="15102" width="9.140625" style="310"/>
    <col min="15103" max="15103" width="4.140625" style="310" customWidth="1"/>
    <col min="15104" max="15104" width="25.5703125" style="310" customWidth="1"/>
    <col min="15105" max="15106" width="7.7109375" style="310" customWidth="1"/>
    <col min="15107" max="15107" width="8.140625" style="310" customWidth="1"/>
    <col min="15108" max="15108" width="7.5703125" style="310" customWidth="1"/>
    <col min="15109" max="15109" width="7.42578125" style="310" customWidth="1"/>
    <col min="15110" max="15110" width="7.5703125" style="310" customWidth="1"/>
    <col min="15111" max="15111" width="7" style="310" customWidth="1"/>
    <col min="15112" max="15116" width="8.140625" style="310" customWidth="1"/>
    <col min="15117" max="15117" width="10.85546875" style="310" customWidth="1"/>
    <col min="15118" max="15358" width="9.140625" style="310"/>
    <col min="15359" max="15359" width="4.140625" style="310" customWidth="1"/>
    <col min="15360" max="15360" width="25.5703125" style="310" customWidth="1"/>
    <col min="15361" max="15362" width="7.7109375" style="310" customWidth="1"/>
    <col min="15363" max="15363" width="8.140625" style="310" customWidth="1"/>
    <col min="15364" max="15364" width="7.5703125" style="310" customWidth="1"/>
    <col min="15365" max="15365" width="7.42578125" style="310" customWidth="1"/>
    <col min="15366" max="15366" width="7.5703125" style="310" customWidth="1"/>
    <col min="15367" max="15367" width="7" style="310" customWidth="1"/>
    <col min="15368" max="15372" width="8.140625" style="310" customWidth="1"/>
    <col min="15373" max="15373" width="10.85546875" style="310" customWidth="1"/>
    <col min="15374" max="15614" width="9.140625" style="310"/>
    <col min="15615" max="15615" width="4.140625" style="310" customWidth="1"/>
    <col min="15616" max="15616" width="25.5703125" style="310" customWidth="1"/>
    <col min="15617" max="15618" width="7.7109375" style="310" customWidth="1"/>
    <col min="15619" max="15619" width="8.140625" style="310" customWidth="1"/>
    <col min="15620" max="15620" width="7.5703125" style="310" customWidth="1"/>
    <col min="15621" max="15621" width="7.42578125" style="310" customWidth="1"/>
    <col min="15622" max="15622" width="7.5703125" style="310" customWidth="1"/>
    <col min="15623" max="15623" width="7" style="310" customWidth="1"/>
    <col min="15624" max="15628" width="8.140625" style="310" customWidth="1"/>
    <col min="15629" max="15629" width="10.85546875" style="310" customWidth="1"/>
    <col min="15630" max="15870" width="9.140625" style="310"/>
    <col min="15871" max="15871" width="4.140625" style="310" customWidth="1"/>
    <col min="15872" max="15872" width="25.5703125" style="310" customWidth="1"/>
    <col min="15873" max="15874" width="7.7109375" style="310" customWidth="1"/>
    <col min="15875" max="15875" width="8.140625" style="310" customWidth="1"/>
    <col min="15876" max="15876" width="7.5703125" style="310" customWidth="1"/>
    <col min="15877" max="15877" width="7.42578125" style="310" customWidth="1"/>
    <col min="15878" max="15878" width="7.5703125" style="310" customWidth="1"/>
    <col min="15879" max="15879" width="7" style="310" customWidth="1"/>
    <col min="15880" max="15884" width="8.140625" style="310" customWidth="1"/>
    <col min="15885" max="15885" width="10.85546875" style="310" customWidth="1"/>
    <col min="15886" max="16126" width="9.140625" style="310"/>
    <col min="16127" max="16127" width="4.140625" style="310" customWidth="1"/>
    <col min="16128" max="16128" width="25.5703125" style="310" customWidth="1"/>
    <col min="16129" max="16130" width="7.7109375" style="310" customWidth="1"/>
    <col min="16131" max="16131" width="8.140625" style="310" customWidth="1"/>
    <col min="16132" max="16132" width="7.5703125" style="310" customWidth="1"/>
    <col min="16133" max="16133" width="7.42578125" style="310" customWidth="1"/>
    <col min="16134" max="16134" width="7.5703125" style="310" customWidth="1"/>
    <col min="16135" max="16135" width="7" style="310" customWidth="1"/>
    <col min="16136" max="16140" width="8.140625" style="310" customWidth="1"/>
    <col min="16141" max="16141" width="10.85546875" style="310" customWidth="1"/>
    <col min="16142" max="16384" width="9.140625" style="310"/>
  </cols>
  <sheetData>
    <row r="1" spans="1:15" ht="31.5" customHeight="1" x14ac:dyDescent="0.2">
      <c r="A1" s="1805" t="s">
        <v>518</v>
      </c>
      <c r="B1" s="1806"/>
      <c r="C1" s="1806"/>
      <c r="D1" s="1806"/>
      <c r="E1" s="1806"/>
      <c r="F1" s="1806"/>
      <c r="G1" s="1806"/>
      <c r="H1" s="1806"/>
      <c r="I1" s="1806"/>
      <c r="J1" s="1806"/>
      <c r="K1" s="1806"/>
      <c r="L1" s="1806"/>
      <c r="M1" s="1806"/>
      <c r="N1" s="1806"/>
      <c r="O1" s="1806"/>
    </row>
    <row r="2" spans="1:15" ht="12.6" customHeight="1" thickBot="1" x14ac:dyDescent="0.25">
      <c r="O2" s="313" t="s">
        <v>519</v>
      </c>
    </row>
    <row r="3" spans="1:15" s="303" customFormat="1" ht="30" customHeight="1" thickBot="1" x14ac:dyDescent="0.25">
      <c r="A3" s="300" t="s">
        <v>221</v>
      </c>
      <c r="B3" s="301" t="s">
        <v>111</v>
      </c>
      <c r="C3" s="301" t="s">
        <v>205</v>
      </c>
      <c r="D3" s="301" t="s">
        <v>206</v>
      </c>
      <c r="E3" s="301" t="s">
        <v>207</v>
      </c>
      <c r="F3" s="301" t="s">
        <v>208</v>
      </c>
      <c r="G3" s="301" t="s">
        <v>209</v>
      </c>
      <c r="H3" s="301" t="s">
        <v>210</v>
      </c>
      <c r="I3" s="301" t="s">
        <v>211</v>
      </c>
      <c r="J3" s="301" t="s">
        <v>506</v>
      </c>
      <c r="K3" s="301" t="s">
        <v>507</v>
      </c>
      <c r="L3" s="301" t="s">
        <v>508</v>
      </c>
      <c r="M3" s="301" t="s">
        <v>509</v>
      </c>
      <c r="N3" s="301" t="s">
        <v>510</v>
      </c>
      <c r="O3" s="302" t="s">
        <v>511</v>
      </c>
    </row>
    <row r="4" spans="1:15" s="303" customFormat="1" ht="24.6" customHeight="1" thickBot="1" x14ac:dyDescent="0.25">
      <c r="A4" s="314"/>
      <c r="B4" s="1807" t="s">
        <v>44</v>
      </c>
      <c r="C4" s="1808"/>
      <c r="D4" s="1808"/>
      <c r="E4" s="1808"/>
      <c r="F4" s="1808"/>
      <c r="G4" s="1808"/>
      <c r="H4" s="1808"/>
      <c r="I4" s="1808"/>
      <c r="J4" s="1808"/>
      <c r="K4" s="1808"/>
      <c r="L4" s="1808"/>
      <c r="M4" s="1808"/>
      <c r="N4" s="1808"/>
      <c r="O4" s="1809"/>
    </row>
    <row r="5" spans="1:15" s="303" customFormat="1" ht="22.15" customHeight="1" x14ac:dyDescent="0.2">
      <c r="A5" s="315" t="s">
        <v>61</v>
      </c>
      <c r="B5" s="316" t="s">
        <v>512</v>
      </c>
      <c r="C5" s="304">
        <v>917766</v>
      </c>
      <c r="D5" s="305">
        <f>+C26</f>
        <v>885879</v>
      </c>
      <c r="E5" s="305">
        <f>+D26</f>
        <v>1228822</v>
      </c>
      <c r="F5" s="305">
        <f t="shared" ref="F5:N5" si="0">+E26</f>
        <v>1610995</v>
      </c>
      <c r="G5" s="305">
        <f t="shared" si="0"/>
        <v>1556468</v>
      </c>
      <c r="H5" s="305">
        <f t="shared" si="0"/>
        <v>1428291</v>
      </c>
      <c r="I5" s="305">
        <f t="shared" si="0"/>
        <v>1317631</v>
      </c>
      <c r="J5" s="305">
        <f t="shared" si="0"/>
        <v>923597</v>
      </c>
      <c r="K5" s="305">
        <f t="shared" si="0"/>
        <v>1286560</v>
      </c>
      <c r="L5" s="305">
        <f t="shared" si="0"/>
        <v>1213241</v>
      </c>
      <c r="M5" s="305">
        <f t="shared" si="0"/>
        <v>870964</v>
      </c>
      <c r="N5" s="305">
        <f t="shared" si="0"/>
        <v>139144</v>
      </c>
      <c r="O5" s="306" t="s">
        <v>513</v>
      </c>
    </row>
    <row r="6" spans="1:15" s="303" customFormat="1" ht="28.9" customHeight="1" x14ac:dyDescent="0.2">
      <c r="A6" s="317" t="s">
        <v>62</v>
      </c>
      <c r="B6" s="307" t="s">
        <v>373</v>
      </c>
      <c r="C6" s="308">
        <v>102000</v>
      </c>
      <c r="D6" s="308">
        <v>102000</v>
      </c>
      <c r="E6" s="308">
        <v>204000</v>
      </c>
      <c r="F6" s="308">
        <v>102000</v>
      </c>
      <c r="G6" s="308">
        <v>102000</v>
      </c>
      <c r="H6" s="308">
        <v>102000</v>
      </c>
      <c r="I6" s="308">
        <v>102000</v>
      </c>
      <c r="J6" s="308">
        <v>102000</v>
      </c>
      <c r="K6" s="308">
        <v>204000</v>
      </c>
      <c r="L6" s="308">
        <v>102000</v>
      </c>
      <c r="M6" s="308">
        <v>102000</v>
      </c>
      <c r="N6" s="308">
        <f>314324+27746-14232-751</f>
        <v>327087</v>
      </c>
      <c r="O6" s="309">
        <f t="shared" ref="O6:O24" si="1">SUM(C6:N6)</f>
        <v>1653087</v>
      </c>
    </row>
    <row r="7" spans="1:15" ht="22.15" customHeight="1" x14ac:dyDescent="0.2">
      <c r="A7" s="317" t="s">
        <v>63</v>
      </c>
      <c r="B7" s="307" t="s">
        <v>383</v>
      </c>
      <c r="C7" s="308">
        <v>20000</v>
      </c>
      <c r="D7" s="308">
        <v>20000</v>
      </c>
      <c r="E7" s="308">
        <v>300000</v>
      </c>
      <c r="F7" s="308">
        <v>20000</v>
      </c>
      <c r="G7" s="308">
        <v>60000</v>
      </c>
      <c r="H7" s="308">
        <v>20000</v>
      </c>
      <c r="I7" s="308">
        <v>20000</v>
      </c>
      <c r="J7" s="308">
        <v>20000</v>
      </c>
      <c r="K7" s="308">
        <v>300000</v>
      </c>
      <c r="L7" s="308">
        <v>20000</v>
      </c>
      <c r="M7" s="308">
        <v>20000</v>
      </c>
      <c r="N7" s="308">
        <f>79350+'2'!H6+257567+690</f>
        <v>343107</v>
      </c>
      <c r="O7" s="309">
        <f t="shared" si="1"/>
        <v>1163107</v>
      </c>
    </row>
    <row r="8" spans="1:15" ht="22.15" customHeight="1" x14ac:dyDescent="0.2">
      <c r="A8" s="317" t="s">
        <v>64</v>
      </c>
      <c r="B8" s="307" t="s">
        <v>48</v>
      </c>
      <c r="C8" s="311">
        <v>42000</v>
      </c>
      <c r="D8" s="311">
        <v>45000</v>
      </c>
      <c r="E8" s="311">
        <v>45000</v>
      </c>
      <c r="F8" s="311">
        <v>45000</v>
      </c>
      <c r="G8" s="311">
        <v>45000</v>
      </c>
      <c r="H8" s="311">
        <v>45000</v>
      </c>
      <c r="I8" s="311">
        <v>45000</v>
      </c>
      <c r="J8" s="311">
        <v>45000</v>
      </c>
      <c r="K8" s="311">
        <v>45000</v>
      </c>
      <c r="L8" s="311">
        <v>45000</v>
      </c>
      <c r="M8" s="311">
        <v>45000</v>
      </c>
      <c r="N8" s="311">
        <f>86307+'2'!H7+27905-690+751</f>
        <v>134117</v>
      </c>
      <c r="O8" s="312">
        <f t="shared" si="1"/>
        <v>626117</v>
      </c>
    </row>
    <row r="9" spans="1:15" ht="22.15" customHeight="1" x14ac:dyDescent="0.2">
      <c r="A9" s="317" t="s">
        <v>65</v>
      </c>
      <c r="B9" s="307" t="s">
        <v>385</v>
      </c>
      <c r="C9" s="308"/>
      <c r="D9" s="308"/>
      <c r="E9" s="308">
        <v>350</v>
      </c>
      <c r="F9" s="308"/>
      <c r="G9" s="308"/>
      <c r="H9" s="308">
        <v>350</v>
      </c>
      <c r="I9" s="308"/>
      <c r="J9" s="308"/>
      <c r="K9" s="308">
        <v>350</v>
      </c>
      <c r="L9" s="308"/>
      <c r="M9" s="308"/>
      <c r="N9" s="308">
        <f>7826-6791</f>
        <v>1035</v>
      </c>
      <c r="O9" s="309">
        <f t="shared" si="1"/>
        <v>2085</v>
      </c>
    </row>
    <row r="10" spans="1:15" ht="28.9" customHeight="1" x14ac:dyDescent="0.2">
      <c r="A10" s="317" t="s">
        <v>66</v>
      </c>
      <c r="B10" s="307" t="s">
        <v>374</v>
      </c>
      <c r="C10" s="308"/>
      <c r="D10" s="308">
        <v>565884</v>
      </c>
      <c r="E10" s="308">
        <v>41710</v>
      </c>
      <c r="F10" s="308">
        <v>41710</v>
      </c>
      <c r="G10" s="308">
        <v>41710</v>
      </c>
      <c r="H10" s="308">
        <v>41710</v>
      </c>
      <c r="I10" s="308">
        <v>41710</v>
      </c>
      <c r="J10" s="308">
        <v>41710</v>
      </c>
      <c r="K10" s="308">
        <v>19998</v>
      </c>
      <c r="L10" s="308"/>
      <c r="M10" s="308"/>
      <c r="N10" s="308">
        <v>2731</v>
      </c>
      <c r="O10" s="309">
        <f t="shared" si="1"/>
        <v>838873</v>
      </c>
    </row>
    <row r="11" spans="1:15" ht="22.15" customHeight="1" x14ac:dyDescent="0.2">
      <c r="A11" s="317" t="s">
        <v>67</v>
      </c>
      <c r="B11" s="307" t="s">
        <v>384</v>
      </c>
      <c r="C11" s="308"/>
      <c r="D11" s="308"/>
      <c r="E11" s="308"/>
      <c r="F11" s="308"/>
      <c r="G11" s="308"/>
      <c r="H11" s="308">
        <v>4167</v>
      </c>
      <c r="I11" s="308"/>
      <c r="J11" s="308"/>
      <c r="K11" s="308"/>
      <c r="L11" s="308"/>
      <c r="M11" s="308"/>
      <c r="N11" s="308">
        <v>6913</v>
      </c>
      <c r="O11" s="309">
        <f t="shared" si="1"/>
        <v>11080</v>
      </c>
    </row>
    <row r="12" spans="1:15" ht="22.15" customHeight="1" x14ac:dyDescent="0.2">
      <c r="A12" s="317" t="s">
        <v>68</v>
      </c>
      <c r="B12" s="307" t="s">
        <v>386</v>
      </c>
      <c r="C12" s="308">
        <v>3113</v>
      </c>
      <c r="D12" s="308">
        <v>3113</v>
      </c>
      <c r="E12" s="308">
        <v>3113</v>
      </c>
      <c r="F12" s="308">
        <v>3113</v>
      </c>
      <c r="G12" s="308">
        <v>3113</v>
      </c>
      <c r="H12" s="308">
        <v>3113</v>
      </c>
      <c r="I12" s="308">
        <v>3113</v>
      </c>
      <c r="J12" s="308">
        <v>3113</v>
      </c>
      <c r="K12" s="308">
        <v>3113</v>
      </c>
      <c r="L12" s="308">
        <v>3113</v>
      </c>
      <c r="M12" s="308">
        <v>3113</v>
      </c>
      <c r="N12" s="308">
        <f>3822+624</f>
        <v>4446</v>
      </c>
      <c r="O12" s="309">
        <f t="shared" si="1"/>
        <v>38689</v>
      </c>
    </row>
    <row r="13" spans="1:15" ht="22.15" customHeight="1" thickBot="1" x14ac:dyDescent="0.25">
      <c r="A13" s="317" t="s">
        <v>69</v>
      </c>
      <c r="B13" s="318" t="s">
        <v>387</v>
      </c>
      <c r="C13" s="308"/>
      <c r="D13" s="308">
        <v>340000</v>
      </c>
      <c r="E13" s="308"/>
      <c r="F13" s="308"/>
      <c r="G13" s="308"/>
      <c r="H13" s="308"/>
      <c r="I13" s="308"/>
      <c r="J13" s="308">
        <v>500000</v>
      </c>
      <c r="K13" s="308"/>
      <c r="L13" s="308">
        <v>130000</v>
      </c>
      <c r="M13" s="308">
        <v>300000</v>
      </c>
      <c r="N13" s="308">
        <v>1376320</v>
      </c>
      <c r="O13" s="309">
        <f t="shared" si="1"/>
        <v>2646320</v>
      </c>
    </row>
    <row r="14" spans="1:15" s="303" customFormat="1" ht="28.15" customHeight="1" thickBot="1" x14ac:dyDescent="0.25">
      <c r="A14" s="323"/>
      <c r="B14" s="324" t="s">
        <v>514</v>
      </c>
      <c r="C14" s="325">
        <f t="shared" ref="C14:N14" si="2">SUM(C5:C13)</f>
        <v>1084879</v>
      </c>
      <c r="D14" s="325">
        <f t="shared" si="2"/>
        <v>1961876</v>
      </c>
      <c r="E14" s="325">
        <f t="shared" si="2"/>
        <v>1822995</v>
      </c>
      <c r="F14" s="325">
        <f t="shared" si="2"/>
        <v>1822818</v>
      </c>
      <c r="G14" s="325">
        <f t="shared" si="2"/>
        <v>1808291</v>
      </c>
      <c r="H14" s="325">
        <f t="shared" si="2"/>
        <v>1644631</v>
      </c>
      <c r="I14" s="325">
        <f t="shared" si="2"/>
        <v>1529454</v>
      </c>
      <c r="J14" s="325">
        <f t="shared" si="2"/>
        <v>1635420</v>
      </c>
      <c r="K14" s="325">
        <f t="shared" si="2"/>
        <v>1859021</v>
      </c>
      <c r="L14" s="325">
        <f t="shared" si="2"/>
        <v>1513354</v>
      </c>
      <c r="M14" s="325">
        <f t="shared" si="2"/>
        <v>1341077</v>
      </c>
      <c r="N14" s="325">
        <f t="shared" si="2"/>
        <v>2334900</v>
      </c>
      <c r="O14" s="326"/>
    </row>
    <row r="15" spans="1:15" s="303" customFormat="1" ht="24" customHeight="1" thickBot="1" x14ac:dyDescent="0.25">
      <c r="A15" s="314"/>
      <c r="B15" s="1807" t="s">
        <v>45</v>
      </c>
      <c r="C15" s="1808"/>
      <c r="D15" s="1808"/>
      <c r="E15" s="1808"/>
      <c r="F15" s="1808"/>
      <c r="G15" s="1808"/>
      <c r="H15" s="1808"/>
      <c r="I15" s="1808"/>
      <c r="J15" s="1808"/>
      <c r="K15" s="1808"/>
      <c r="L15" s="1808"/>
      <c r="M15" s="1808"/>
      <c r="N15" s="1808"/>
      <c r="O15" s="1809"/>
    </row>
    <row r="16" spans="1:15" ht="22.15" customHeight="1" x14ac:dyDescent="0.2">
      <c r="A16" s="319" t="s">
        <v>61</v>
      </c>
      <c r="B16" s="320" t="s">
        <v>41</v>
      </c>
      <c r="C16" s="311">
        <v>75000</v>
      </c>
      <c r="D16" s="311">
        <v>75000</v>
      </c>
      <c r="E16" s="311">
        <v>80000</v>
      </c>
      <c r="F16" s="311">
        <v>80000</v>
      </c>
      <c r="G16" s="311">
        <v>80000</v>
      </c>
      <c r="H16" s="311">
        <v>80000</v>
      </c>
      <c r="I16" s="311">
        <v>85000</v>
      </c>
      <c r="J16" s="311">
        <v>85000</v>
      </c>
      <c r="K16" s="311">
        <v>85000</v>
      </c>
      <c r="L16" s="311">
        <v>90000</v>
      </c>
      <c r="M16" s="311">
        <v>95000</v>
      </c>
      <c r="N16" s="311">
        <f>159979+'2'!S5+20783</f>
        <v>193775</v>
      </c>
      <c r="O16" s="312">
        <f t="shared" si="1"/>
        <v>1103775</v>
      </c>
    </row>
    <row r="17" spans="1:15" ht="28.9" customHeight="1" x14ac:dyDescent="0.2">
      <c r="A17" s="319" t="s">
        <v>62</v>
      </c>
      <c r="B17" s="321" t="s">
        <v>309</v>
      </c>
      <c r="C17" s="308">
        <v>21000</v>
      </c>
      <c r="D17" s="308">
        <v>21000</v>
      </c>
      <c r="E17" s="308">
        <v>22000</v>
      </c>
      <c r="F17" s="308">
        <v>22000</v>
      </c>
      <c r="G17" s="308">
        <v>22000</v>
      </c>
      <c r="H17" s="308">
        <v>22000</v>
      </c>
      <c r="I17" s="308">
        <v>24000</v>
      </c>
      <c r="J17" s="308">
        <v>24000</v>
      </c>
      <c r="K17" s="308">
        <v>24000</v>
      </c>
      <c r="L17" s="308">
        <v>24000</v>
      </c>
      <c r="M17" s="308">
        <v>25000</v>
      </c>
      <c r="N17" s="308">
        <f>37592+'2'!S6+2067</f>
        <v>41113</v>
      </c>
      <c r="O17" s="309">
        <f t="shared" si="1"/>
        <v>292113</v>
      </c>
    </row>
    <row r="18" spans="1:15" ht="22.15" customHeight="1" x14ac:dyDescent="0.2">
      <c r="A18" s="319" t="s">
        <v>63</v>
      </c>
      <c r="B18" s="318" t="s">
        <v>133</v>
      </c>
      <c r="C18" s="308">
        <v>68000</v>
      </c>
      <c r="D18" s="308">
        <v>75000</v>
      </c>
      <c r="E18" s="308">
        <v>75000</v>
      </c>
      <c r="F18" s="308">
        <v>75000</v>
      </c>
      <c r="G18" s="308">
        <v>65000</v>
      </c>
      <c r="H18" s="308">
        <v>80000</v>
      </c>
      <c r="I18" s="308">
        <v>80000</v>
      </c>
      <c r="J18" s="308">
        <v>80000</v>
      </c>
      <c r="K18" s="308">
        <v>110000</v>
      </c>
      <c r="L18" s="308">
        <v>85000</v>
      </c>
      <c r="M18" s="308">
        <v>85000</v>
      </c>
      <c r="N18" s="308">
        <v>279120</v>
      </c>
      <c r="O18" s="309">
        <f t="shared" si="1"/>
        <v>1157120</v>
      </c>
    </row>
    <row r="19" spans="1:15" ht="22.15" customHeight="1" x14ac:dyDescent="0.2">
      <c r="A19" s="319" t="s">
        <v>64</v>
      </c>
      <c r="B19" s="318" t="s">
        <v>43</v>
      </c>
      <c r="C19" s="308">
        <v>35000</v>
      </c>
      <c r="D19" s="308">
        <v>35000</v>
      </c>
      <c r="E19" s="308">
        <v>35000</v>
      </c>
      <c r="F19" s="308">
        <v>35000</v>
      </c>
      <c r="G19" s="308">
        <v>35000</v>
      </c>
      <c r="H19" s="308">
        <v>35000</v>
      </c>
      <c r="I19" s="308">
        <v>35000</v>
      </c>
      <c r="J19" s="308">
        <v>40000</v>
      </c>
      <c r="K19" s="308">
        <v>35000</v>
      </c>
      <c r="L19" s="308">
        <v>35000</v>
      </c>
      <c r="M19" s="308">
        <v>40000</v>
      </c>
      <c r="N19" s="308">
        <f>46793+'2'!S8-20000+150000</f>
        <v>189176</v>
      </c>
      <c r="O19" s="309">
        <v>434176</v>
      </c>
    </row>
    <row r="20" spans="1:15" ht="22.15" customHeight="1" x14ac:dyDescent="0.2">
      <c r="A20" s="319" t="s">
        <v>65</v>
      </c>
      <c r="B20" s="318" t="s">
        <v>368</v>
      </c>
      <c r="C20" s="308"/>
      <c r="D20" s="308"/>
      <c r="E20" s="308"/>
      <c r="F20" s="308">
        <v>34350</v>
      </c>
      <c r="G20" s="308">
        <v>18000</v>
      </c>
      <c r="H20" s="308">
        <v>10000</v>
      </c>
      <c r="I20" s="308">
        <v>10000</v>
      </c>
      <c r="J20" s="308">
        <v>10000</v>
      </c>
      <c r="K20" s="308">
        <v>10000</v>
      </c>
      <c r="L20" s="308">
        <v>20000</v>
      </c>
      <c r="M20" s="308">
        <v>20000</v>
      </c>
      <c r="N20" s="308">
        <f>19406+'2'!S9+1500+246634</f>
        <v>237929</v>
      </c>
      <c r="O20" s="309">
        <f t="shared" si="1"/>
        <v>370279</v>
      </c>
    </row>
    <row r="21" spans="1:15" ht="22.15" customHeight="1" x14ac:dyDescent="0.2">
      <c r="A21" s="319" t="s">
        <v>66</v>
      </c>
      <c r="B21" s="318" t="s">
        <v>370</v>
      </c>
      <c r="C21" s="308"/>
      <c r="D21" s="308">
        <v>66000</v>
      </c>
      <c r="E21" s="308"/>
      <c r="F21" s="308">
        <v>20000</v>
      </c>
      <c r="G21" s="308">
        <v>150000</v>
      </c>
      <c r="H21" s="308">
        <v>100000</v>
      </c>
      <c r="I21" s="308">
        <v>40348</v>
      </c>
      <c r="J21" s="308">
        <v>96000</v>
      </c>
      <c r="K21" s="308">
        <v>370000</v>
      </c>
      <c r="L21" s="308">
        <v>348390</v>
      </c>
      <c r="M21" s="308">
        <v>372059</v>
      </c>
      <c r="N21" s="308">
        <f>344715+'2'!S11-56965</f>
        <v>302120</v>
      </c>
      <c r="O21" s="309">
        <f t="shared" si="1"/>
        <v>1864917</v>
      </c>
    </row>
    <row r="22" spans="1:15" ht="22.15" customHeight="1" x14ac:dyDescent="0.2">
      <c r="A22" s="319" t="s">
        <v>67</v>
      </c>
      <c r="B22" s="321" t="s">
        <v>55</v>
      </c>
      <c r="C22" s="308"/>
      <c r="D22" s="308"/>
      <c r="E22" s="308"/>
      <c r="F22" s="308" t="s">
        <v>99</v>
      </c>
      <c r="G22" s="308">
        <v>10000</v>
      </c>
      <c r="H22" s="308"/>
      <c r="I22" s="308">
        <v>31509</v>
      </c>
      <c r="J22" s="308"/>
      <c r="K22" s="308">
        <v>11780</v>
      </c>
      <c r="L22" s="308">
        <v>40000</v>
      </c>
      <c r="M22" s="308">
        <f>85000-126</f>
        <v>84874</v>
      </c>
      <c r="N22" s="308">
        <v>-2208</v>
      </c>
      <c r="O22" s="309">
        <v>172855</v>
      </c>
    </row>
    <row r="23" spans="1:15" ht="22.15" customHeight="1" x14ac:dyDescent="0.2">
      <c r="A23" s="319" t="s">
        <v>68</v>
      </c>
      <c r="B23" s="318" t="s">
        <v>515</v>
      </c>
      <c r="C23" s="308"/>
      <c r="D23" s="308"/>
      <c r="E23" s="308"/>
      <c r="F23" s="308" t="s">
        <v>99</v>
      </c>
      <c r="G23" s="308" t="s">
        <v>99</v>
      </c>
      <c r="H23" s="308" t="s">
        <v>99</v>
      </c>
      <c r="I23" s="308"/>
      <c r="J23" s="308">
        <v>13860</v>
      </c>
      <c r="K23" s="308" t="s">
        <v>99</v>
      </c>
      <c r="L23" s="308"/>
      <c r="M23" s="308"/>
      <c r="N23" s="308"/>
      <c r="O23" s="309">
        <f t="shared" si="1"/>
        <v>13860</v>
      </c>
    </row>
    <row r="24" spans="1:15" ht="22.15" customHeight="1" thickBot="1" x14ac:dyDescent="0.25">
      <c r="A24" s="317" t="s">
        <v>69</v>
      </c>
      <c r="B24" s="318" t="s">
        <v>139</v>
      </c>
      <c r="C24" s="308"/>
      <c r="D24" s="308">
        <v>461054</v>
      </c>
      <c r="E24" s="308"/>
      <c r="F24" s="308" t="s">
        <v>99</v>
      </c>
      <c r="G24" s="308" t="s">
        <v>99</v>
      </c>
      <c r="H24" s="308" t="s">
        <v>99</v>
      </c>
      <c r="I24" s="308">
        <v>300000</v>
      </c>
      <c r="J24" s="308" t="s">
        <v>99</v>
      </c>
      <c r="K24" s="308" t="s">
        <v>99</v>
      </c>
      <c r="L24" s="308" t="s">
        <v>99</v>
      </c>
      <c r="M24" s="308">
        <v>480000</v>
      </c>
      <c r="N24" s="308">
        <v>894741</v>
      </c>
      <c r="O24" s="309">
        <f t="shared" si="1"/>
        <v>2135795</v>
      </c>
    </row>
    <row r="25" spans="1:15" s="303" customFormat="1" ht="28.15" customHeight="1" thickBot="1" x14ac:dyDescent="0.25">
      <c r="A25" s="327"/>
      <c r="B25" s="324" t="s">
        <v>516</v>
      </c>
      <c r="C25" s="325">
        <f>SUM(C16:C24)</f>
        <v>199000</v>
      </c>
      <c r="D25" s="325">
        <f>SUM(D16:D24)</f>
        <v>733054</v>
      </c>
      <c r="E25" s="325">
        <f>SUM(E16:E24)</f>
        <v>212000</v>
      </c>
      <c r="F25" s="325">
        <f t="shared" ref="F25:L25" si="3">SUM(F16:F24)</f>
        <v>266350</v>
      </c>
      <c r="G25" s="325">
        <f t="shared" si="3"/>
        <v>380000</v>
      </c>
      <c r="H25" s="325">
        <f t="shared" si="3"/>
        <v>327000</v>
      </c>
      <c r="I25" s="325">
        <f t="shared" si="3"/>
        <v>605857</v>
      </c>
      <c r="J25" s="325">
        <f t="shared" si="3"/>
        <v>348860</v>
      </c>
      <c r="K25" s="325">
        <f t="shared" si="3"/>
        <v>645780</v>
      </c>
      <c r="L25" s="325">
        <f t="shared" si="3"/>
        <v>642390</v>
      </c>
      <c r="M25" s="325">
        <f>SUM(M16:M24)</f>
        <v>1201933</v>
      </c>
      <c r="N25" s="325">
        <f>SUM(N16:N24)</f>
        <v>2135766</v>
      </c>
      <c r="O25" s="326">
        <f>SUM(O16:O24)</f>
        <v>7544890</v>
      </c>
    </row>
    <row r="26" spans="1:15" ht="28.15" customHeight="1" thickBot="1" x14ac:dyDescent="0.25">
      <c r="A26" s="327"/>
      <c r="B26" s="324" t="s">
        <v>517</v>
      </c>
      <c r="C26" s="325">
        <f t="shared" ref="C26:N26" si="4">C14-C25</f>
        <v>885879</v>
      </c>
      <c r="D26" s="325">
        <f t="shared" si="4"/>
        <v>1228822</v>
      </c>
      <c r="E26" s="325">
        <f t="shared" si="4"/>
        <v>1610995</v>
      </c>
      <c r="F26" s="325">
        <f t="shared" si="4"/>
        <v>1556468</v>
      </c>
      <c r="G26" s="325">
        <f t="shared" si="4"/>
        <v>1428291</v>
      </c>
      <c r="H26" s="325">
        <f t="shared" si="4"/>
        <v>1317631</v>
      </c>
      <c r="I26" s="325">
        <f t="shared" si="4"/>
        <v>923597</v>
      </c>
      <c r="J26" s="325">
        <f t="shared" si="4"/>
        <v>1286560</v>
      </c>
      <c r="K26" s="325">
        <f t="shared" si="4"/>
        <v>1213241</v>
      </c>
      <c r="L26" s="325">
        <f t="shared" si="4"/>
        <v>870964</v>
      </c>
      <c r="M26" s="325">
        <f t="shared" si="4"/>
        <v>139144</v>
      </c>
      <c r="N26" s="325">
        <f t="shared" si="4"/>
        <v>199134</v>
      </c>
      <c r="O26" s="328" t="s">
        <v>513</v>
      </c>
    </row>
    <row r="28" spans="1:15" x14ac:dyDescent="0.2">
      <c r="B28" s="322"/>
      <c r="C28" s="322"/>
      <c r="D28" s="322"/>
    </row>
  </sheetData>
  <mergeCells count="3">
    <mergeCell ref="A1:O1"/>
    <mergeCell ref="B4:O4"/>
    <mergeCell ref="B15:O15"/>
  </mergeCells>
  <pageMargins left="0.70866141732283472" right="0.70866141732283472" top="0.78740157480314965" bottom="0.78740157480314965" header="0.31496062992125984" footer="0.31496062992125984"/>
  <pageSetup paperSize="9" scale="78" orientation="landscape" r:id="rId1"/>
  <headerFooter>
    <oddHeader>&amp;L&amp;"Arial,Dőlt"&amp;U18. melléklet a 3/2014. (II.15.) önkormányzati rendelethez</oddHeader>
    <oddFooter>&amp;CNagykőrös Város Önkormányzat 2014. évi költségvetési rendeletének V. sz. módosítása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view="pageBreakPreview" zoomScale="80" zoomScaleNormal="100" zoomScaleSheetLayoutView="80" workbookViewId="0">
      <selection activeCell="N15" sqref="N15"/>
    </sheetView>
  </sheetViews>
  <sheetFormatPr defaultColWidth="11.7109375" defaultRowHeight="15" x14ac:dyDescent="0.2"/>
  <cols>
    <col min="1" max="1" width="48.5703125" style="335" customWidth="1"/>
    <col min="2" max="3" width="13.42578125" style="335" customWidth="1"/>
    <col min="4" max="4" width="13.5703125" style="333" customWidth="1"/>
    <col min="5" max="5" width="13.5703125" style="333" hidden="1" customWidth="1"/>
    <col min="6" max="6" width="13.5703125" style="333" customWidth="1"/>
    <col min="7" max="7" width="13.42578125" style="333" customWidth="1"/>
    <col min="8" max="8" width="13.5703125" style="333" customWidth="1"/>
    <col min="9" max="9" width="48.7109375" style="331" customWidth="1"/>
    <col min="10" max="12" width="13.42578125" style="331" customWidth="1"/>
    <col min="13" max="13" width="13.42578125" style="331" hidden="1" customWidth="1"/>
    <col min="14" max="16" width="13.42578125" style="331" customWidth="1"/>
    <col min="17" max="16384" width="11.7109375" style="331"/>
  </cols>
  <sheetData>
    <row r="1" spans="1:16" ht="24" customHeight="1" x14ac:dyDescent="0.2">
      <c r="A1" s="1810" t="s">
        <v>203</v>
      </c>
      <c r="B1" s="1810"/>
      <c r="C1" s="1810"/>
      <c r="D1" s="1810"/>
      <c r="E1" s="1810"/>
      <c r="F1" s="1810"/>
      <c r="G1" s="1810"/>
      <c r="H1" s="1810"/>
      <c r="I1" s="1810"/>
      <c r="J1" s="1810"/>
      <c r="K1" s="1810"/>
      <c r="L1" s="1810"/>
      <c r="M1" s="1810"/>
      <c r="N1" s="1810"/>
    </row>
    <row r="2" spans="1:16" ht="31.5" customHeight="1" thickBot="1" x14ac:dyDescent="0.25">
      <c r="A2" s="330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</row>
    <row r="3" spans="1:16" s="424" customFormat="1" ht="52.9" customHeight="1" thickBot="1" x14ac:dyDescent="0.25">
      <c r="A3" s="422" t="s">
        <v>44</v>
      </c>
      <c r="B3" s="423" t="s">
        <v>494</v>
      </c>
      <c r="C3" s="423" t="s">
        <v>575</v>
      </c>
      <c r="D3" s="511" t="s">
        <v>289</v>
      </c>
      <c r="E3" s="511" t="s">
        <v>830</v>
      </c>
      <c r="F3" s="1057" t="s">
        <v>157</v>
      </c>
      <c r="G3" s="1057" t="s">
        <v>879</v>
      </c>
      <c r="H3" s="1311" t="s">
        <v>891</v>
      </c>
      <c r="I3" s="422" t="s">
        <v>45</v>
      </c>
      <c r="J3" s="423" t="s">
        <v>494</v>
      </c>
      <c r="K3" s="423" t="s">
        <v>575</v>
      </c>
      <c r="L3" s="623" t="s">
        <v>289</v>
      </c>
      <c r="M3" s="511" t="s">
        <v>830</v>
      </c>
      <c r="N3" s="1057" t="s">
        <v>157</v>
      </c>
      <c r="O3" s="1222" t="s">
        <v>879</v>
      </c>
      <c r="P3" s="1306" t="s">
        <v>891</v>
      </c>
    </row>
    <row r="4" spans="1:16" s="424" customFormat="1" ht="32.450000000000003" customHeight="1" x14ac:dyDescent="0.2">
      <c r="A4" s="425" t="s">
        <v>46</v>
      </c>
      <c r="B4" s="1067">
        <f t="shared" ref="B4:H4" si="0">SUM(B5:B9)</f>
        <v>5220654</v>
      </c>
      <c r="C4" s="1067">
        <f t="shared" si="0"/>
        <v>2577791</v>
      </c>
      <c r="D4" s="1067">
        <f t="shared" si="0"/>
        <v>2678166</v>
      </c>
      <c r="E4" s="1067" t="e">
        <f t="shared" si="0"/>
        <v>#REF!</v>
      </c>
      <c r="F4" s="1067" t="e">
        <f t="shared" si="0"/>
        <v>#REF!</v>
      </c>
      <c r="G4" s="1067">
        <f t="shared" si="0"/>
        <v>260397</v>
      </c>
      <c r="H4" s="1312" t="e">
        <f t="shared" si="0"/>
        <v>#REF!</v>
      </c>
      <c r="I4" s="425" t="s">
        <v>47</v>
      </c>
      <c r="J4" s="1067">
        <f t="shared" ref="J4:P4" si="1">SUM(J5:J9)</f>
        <v>4521620</v>
      </c>
      <c r="K4" s="1067">
        <f t="shared" si="1"/>
        <v>2753898</v>
      </c>
      <c r="L4" s="1079">
        <f t="shared" si="1"/>
        <v>2695283</v>
      </c>
      <c r="M4" s="1079">
        <f t="shared" si="1"/>
        <v>103480</v>
      </c>
      <c r="N4" s="1079">
        <f t="shared" si="1"/>
        <v>2798763</v>
      </c>
      <c r="O4" s="1079">
        <f t="shared" si="1"/>
        <v>132793</v>
      </c>
      <c r="P4" s="1312">
        <f t="shared" si="1"/>
        <v>2931556</v>
      </c>
    </row>
    <row r="5" spans="1:16" s="424" customFormat="1" ht="32.450000000000003" customHeight="1" x14ac:dyDescent="0.2">
      <c r="A5" s="426" t="s">
        <v>373</v>
      </c>
      <c r="B5" s="1068">
        <f>1304992+454226</f>
        <v>1759218</v>
      </c>
      <c r="C5" s="1068">
        <v>1187633</v>
      </c>
      <c r="D5" s="1061">
        <f>'4'!C160+'5'!C3+'6'!C3</f>
        <v>1299158</v>
      </c>
      <c r="E5" s="1061">
        <f>'4'!D160+'5'!D3+'6'!D3</f>
        <v>71487</v>
      </c>
      <c r="F5" s="1061">
        <f>D5+E5</f>
        <v>1370645</v>
      </c>
      <c r="G5" s="1061">
        <f>'4'!F160+'5'!F3+'6'!F3</f>
        <v>193857</v>
      </c>
      <c r="H5" s="1313">
        <f>F5+G5</f>
        <v>1564502</v>
      </c>
      <c r="I5" s="1058" t="s">
        <v>41</v>
      </c>
      <c r="J5" s="1080">
        <v>1594303</v>
      </c>
      <c r="K5" s="1080">
        <v>925901</v>
      </c>
      <c r="L5" s="1081">
        <f>'7'!C173+'8'!C185+'9'!C82</f>
        <v>893102</v>
      </c>
      <c r="M5" s="1081">
        <f>'7'!D173+'8'!D185+'9'!D82</f>
        <v>89653</v>
      </c>
      <c r="N5" s="1081">
        <f>L5+M5</f>
        <v>982755</v>
      </c>
      <c r="O5" s="1081">
        <f>'7'!F173+'8'!F185+'9'!F82</f>
        <v>40893</v>
      </c>
      <c r="P5" s="1321">
        <f>N5+O5</f>
        <v>1023648</v>
      </c>
    </row>
    <row r="6" spans="1:16" s="427" customFormat="1" ht="32.450000000000003" customHeight="1" x14ac:dyDescent="0.2">
      <c r="A6" s="426" t="s">
        <v>383</v>
      </c>
      <c r="B6" s="1068">
        <v>1677448</v>
      </c>
      <c r="C6" s="1068">
        <f>1316708-374907</f>
        <v>941801</v>
      </c>
      <c r="D6" s="1061">
        <f>'4'!C161+'5'!C83+'6'!C5</f>
        <v>866650</v>
      </c>
      <c r="E6" s="1061">
        <f>'4'!D161+'5'!D83+'6'!D5</f>
        <v>800</v>
      </c>
      <c r="F6" s="1061">
        <f>D6+E6</f>
        <v>867450</v>
      </c>
      <c r="G6" s="1061">
        <f>'4'!F161+'5'!F83+'6'!F5</f>
        <v>32200</v>
      </c>
      <c r="H6" s="1313">
        <f>F6+G6</f>
        <v>899650</v>
      </c>
      <c r="I6" s="1058" t="s">
        <v>309</v>
      </c>
      <c r="J6" s="1080">
        <v>410402</v>
      </c>
      <c r="K6" s="1080">
        <v>250052</v>
      </c>
      <c r="L6" s="1081">
        <f>'7'!C174+'8'!C186+'9'!C83</f>
        <v>256331</v>
      </c>
      <c r="M6" s="1081">
        <f>'7'!D174+'8'!D186+'9'!D83</f>
        <v>20208</v>
      </c>
      <c r="N6" s="1081">
        <f>L6+M6</f>
        <v>276539</v>
      </c>
      <c r="O6" s="1081">
        <f>'7'!F174+'8'!F186+'9'!F83</f>
        <v>4158</v>
      </c>
      <c r="P6" s="1321">
        <f>N6+O6</f>
        <v>280697</v>
      </c>
    </row>
    <row r="7" spans="1:16" s="427" customFormat="1" ht="32.450000000000003" customHeight="1" x14ac:dyDescent="0.2">
      <c r="A7" s="426" t="s">
        <v>48</v>
      </c>
      <c r="B7" s="1068">
        <v>1767568</v>
      </c>
      <c r="C7" s="1068">
        <f>374907+44827+12016</f>
        <v>431750</v>
      </c>
      <c r="D7" s="1061">
        <f>'4'!C163+'5'!C97+'6'!C10</f>
        <v>511758</v>
      </c>
      <c r="E7" s="1061" t="e">
        <f>'4'!D163+'5'!D97+'6'!D10</f>
        <v>#REF!</v>
      </c>
      <c r="F7" s="1061" t="e">
        <f>D7+E7</f>
        <v>#REF!</v>
      </c>
      <c r="G7" s="1061">
        <f>'4'!F163+'5'!F97+'6'!F10</f>
        <v>33530</v>
      </c>
      <c r="H7" s="1313" t="e">
        <f>F7+G7</f>
        <v>#REF!</v>
      </c>
      <c r="I7" s="1058" t="s">
        <v>133</v>
      </c>
      <c r="J7" s="1080">
        <v>1822702</v>
      </c>
      <c r="K7" s="1080">
        <v>949918</v>
      </c>
      <c r="L7" s="1081">
        <f>'7'!C175+'8'!C187+'9'!C84</f>
        <v>880050</v>
      </c>
      <c r="M7" s="1081">
        <f>'7'!D175+'8'!D187+'9'!D84</f>
        <v>60669</v>
      </c>
      <c r="N7" s="1081">
        <f>L7+M7</f>
        <v>940719</v>
      </c>
      <c r="O7" s="1081">
        <f>'7'!F175+'8'!F187+'9'!F84</f>
        <v>61738</v>
      </c>
      <c r="P7" s="1321">
        <f>N7+O7</f>
        <v>1002457</v>
      </c>
    </row>
    <row r="8" spans="1:16" s="424" customFormat="1" ht="32.450000000000003" customHeight="1" x14ac:dyDescent="0.2">
      <c r="A8" s="426" t="s">
        <v>385</v>
      </c>
      <c r="B8" s="1068">
        <f>650+15770</f>
        <v>16420</v>
      </c>
      <c r="C8" s="1068">
        <v>16607</v>
      </c>
      <c r="D8" s="1061">
        <f>'4'!C165+'5'!C139+'6'!C22</f>
        <v>600</v>
      </c>
      <c r="E8" s="1061">
        <f>'4'!D165+'5'!D139+'6'!D22</f>
        <v>5920</v>
      </c>
      <c r="F8" s="1061">
        <f>D8+E8</f>
        <v>6520</v>
      </c>
      <c r="G8" s="1061">
        <f>'4'!F165+'5'!F139+'6'!F22</f>
        <v>810</v>
      </c>
      <c r="H8" s="1313">
        <f>F8+G8</f>
        <v>7330</v>
      </c>
      <c r="I8" s="1058" t="s">
        <v>43</v>
      </c>
      <c r="J8" s="1080">
        <f>372295+13635</f>
        <v>385930</v>
      </c>
      <c r="K8" s="1080">
        <v>438760</v>
      </c>
      <c r="L8" s="1081">
        <f>'7'!C176+'8'!C188+'9'!C85</f>
        <v>433600</v>
      </c>
      <c r="M8" s="1081">
        <f>'7'!D176+'8'!D188+'9'!D85</f>
        <v>0</v>
      </c>
      <c r="N8" s="1081">
        <f>L8+M8</f>
        <v>433600</v>
      </c>
      <c r="O8" s="1081">
        <f>'7'!F176+'8'!F188+'9'!F85</f>
        <v>8093</v>
      </c>
      <c r="P8" s="1321">
        <f>N8+O8</f>
        <v>441693</v>
      </c>
    </row>
    <row r="9" spans="1:16" s="429" customFormat="1" ht="32.450000000000003" customHeight="1" x14ac:dyDescent="0.2">
      <c r="A9" s="428"/>
      <c r="B9" s="1070"/>
      <c r="C9" s="1070"/>
      <c r="D9" s="1061" t="s">
        <v>99</v>
      </c>
      <c r="E9" s="1061"/>
      <c r="F9" s="1061"/>
      <c r="G9" s="1069"/>
      <c r="H9" s="1313">
        <f>F9+G9</f>
        <v>0</v>
      </c>
      <c r="I9" s="1058" t="s">
        <v>368</v>
      </c>
      <c r="J9" s="1080">
        <f>60265+16936+41315+189767</f>
        <v>308283</v>
      </c>
      <c r="K9" s="1080">
        <f>60297+83895+45075</f>
        <v>189267</v>
      </c>
      <c r="L9" s="1081">
        <f>'7'!C177+'8'!C189+'9'!C86</f>
        <v>232200</v>
      </c>
      <c r="M9" s="1081">
        <f>'7'!D177+'8'!D189+'9'!D86</f>
        <v>-67050</v>
      </c>
      <c r="N9" s="1081">
        <f>L9+M9</f>
        <v>165150</v>
      </c>
      <c r="O9" s="1081">
        <f>'7'!F177+'8'!F189+'9'!F86</f>
        <v>17911</v>
      </c>
      <c r="P9" s="1321">
        <f>N9+O9</f>
        <v>183061</v>
      </c>
    </row>
    <row r="10" spans="1:16" s="424" customFormat="1" ht="32.450000000000003" customHeight="1" x14ac:dyDescent="0.2">
      <c r="A10" s="430" t="s">
        <v>53</v>
      </c>
      <c r="B10" s="1071">
        <f t="shared" ref="B10:H10" si="2">SUM(B11:B13)</f>
        <v>2891656</v>
      </c>
      <c r="C10" s="1071">
        <f t="shared" si="2"/>
        <v>1586515</v>
      </c>
      <c r="D10" s="1071">
        <f t="shared" si="2"/>
        <v>37350</v>
      </c>
      <c r="E10" s="1071">
        <f t="shared" si="2"/>
        <v>461221</v>
      </c>
      <c r="F10" s="1071">
        <f t="shared" si="2"/>
        <v>498571</v>
      </c>
      <c r="G10" s="1071">
        <f t="shared" si="2"/>
        <v>147463</v>
      </c>
      <c r="H10" s="1314">
        <f t="shared" si="2"/>
        <v>646034</v>
      </c>
      <c r="I10" s="430" t="s">
        <v>54</v>
      </c>
      <c r="J10" s="1071">
        <f t="shared" ref="J10:P10" si="3">SUM(J11:J13)</f>
        <v>4239296</v>
      </c>
      <c r="K10" s="1071">
        <f t="shared" si="3"/>
        <v>1097814</v>
      </c>
      <c r="L10" s="1082">
        <f t="shared" si="3"/>
        <v>1853884</v>
      </c>
      <c r="M10" s="1082">
        <f t="shared" si="3"/>
        <v>203698</v>
      </c>
      <c r="N10" s="1082">
        <f t="shared" si="3"/>
        <v>2057582</v>
      </c>
      <c r="O10" s="1082">
        <f t="shared" si="3"/>
        <v>11443</v>
      </c>
      <c r="P10" s="1314">
        <f t="shared" si="3"/>
        <v>2069025</v>
      </c>
    </row>
    <row r="11" spans="1:16" s="424" customFormat="1" ht="32.450000000000003" customHeight="1" x14ac:dyDescent="0.2">
      <c r="A11" s="426" t="s">
        <v>374</v>
      </c>
      <c r="B11" s="1068">
        <v>2654472</v>
      </c>
      <c r="C11" s="1068">
        <v>1449251</v>
      </c>
      <c r="D11" s="1061">
        <f>'4'!C177+'5'!C68+'6'!C4</f>
        <v>0</v>
      </c>
      <c r="E11" s="1061">
        <f>'4'!D177+'5'!D68+'6'!D4</f>
        <v>461054</v>
      </c>
      <c r="F11" s="1061">
        <f>D11+E11</f>
        <v>461054</v>
      </c>
      <c r="G11" s="1061">
        <f>'4'!F177+'5'!F68+'6'!F4</f>
        <v>146848</v>
      </c>
      <c r="H11" s="1313">
        <f>F11+G11</f>
        <v>607902</v>
      </c>
      <c r="I11" s="1058" t="s">
        <v>370</v>
      </c>
      <c r="J11" s="1080">
        <v>4001849</v>
      </c>
      <c r="K11" s="1080">
        <v>983732</v>
      </c>
      <c r="L11" s="1081">
        <f>'7'!C179+'9'!C88+'8'!C191</f>
        <v>1733104</v>
      </c>
      <c r="M11" s="1081">
        <f>'7'!D179+'9'!D88+'8'!D191</f>
        <v>133383</v>
      </c>
      <c r="N11" s="1081">
        <f>L11+M11</f>
        <v>1866487</v>
      </c>
      <c r="O11" s="1081">
        <f>'7'!F179+'9'!F88+'8'!F191</f>
        <v>11659</v>
      </c>
      <c r="P11" s="1321">
        <f>N11+O11</f>
        <v>1878146</v>
      </c>
    </row>
    <row r="12" spans="1:16" s="424" customFormat="1" ht="32.450000000000003" customHeight="1" x14ac:dyDescent="0.2">
      <c r="A12" s="426" t="s">
        <v>384</v>
      </c>
      <c r="B12" s="1068">
        <v>80454</v>
      </c>
      <c r="C12" s="1068">
        <v>126989</v>
      </c>
      <c r="D12" s="1061">
        <f>+'4'!C180+'5'!C128+'6'!C21</f>
        <v>0</v>
      </c>
      <c r="E12" s="1061">
        <f>+'4'!D180+'5'!D128+'6'!D21</f>
        <v>167</v>
      </c>
      <c r="F12" s="1061">
        <f>D12+E12</f>
        <v>167</v>
      </c>
      <c r="G12" s="1061">
        <f>+'4'!F180+'5'!F128+'6'!F21</f>
        <v>0</v>
      </c>
      <c r="H12" s="1313">
        <f>F12+G12</f>
        <v>167</v>
      </c>
      <c r="I12" s="1058" t="s">
        <v>55</v>
      </c>
      <c r="J12" s="1080">
        <v>232932</v>
      </c>
      <c r="K12" s="1080">
        <v>79009</v>
      </c>
      <c r="L12" s="1081">
        <f>'7'!C180+'9'!C89+'8'!C192</f>
        <v>93480</v>
      </c>
      <c r="M12" s="1081">
        <f>'7'!D180+'9'!D89+'8'!D192</f>
        <v>83755</v>
      </c>
      <c r="N12" s="1081">
        <f>L12+M12</f>
        <v>177235</v>
      </c>
      <c r="O12" s="1081">
        <f>'7'!F180+'9'!F89+'8'!F192</f>
        <v>-216</v>
      </c>
      <c r="P12" s="1321">
        <f>N12+O12</f>
        <v>177019</v>
      </c>
    </row>
    <row r="13" spans="1:16" s="424" customFormat="1" ht="32.450000000000003" customHeight="1" x14ac:dyDescent="0.2">
      <c r="A13" s="426" t="s">
        <v>386</v>
      </c>
      <c r="B13" s="1068">
        <f>151245+2113+3372</f>
        <v>156730</v>
      </c>
      <c r="C13" s="1068">
        <f>3069+4470+2736</f>
        <v>10275</v>
      </c>
      <c r="D13" s="1061">
        <f>'4'!C182+'5'!C144+'6'!C23</f>
        <v>37350</v>
      </c>
      <c r="E13" s="1061">
        <f>'4'!D182+'5'!D144+'6'!D23</f>
        <v>0</v>
      </c>
      <c r="F13" s="1061">
        <f>D13+E13</f>
        <v>37350</v>
      </c>
      <c r="G13" s="1061">
        <f>'4'!F182+'5'!F144+'6'!F23</f>
        <v>615</v>
      </c>
      <c r="H13" s="1313">
        <f>F13+G13</f>
        <v>37965</v>
      </c>
      <c r="I13" s="1058" t="s">
        <v>371</v>
      </c>
      <c r="J13" s="1080">
        <f>3382+573+560</f>
        <v>4515</v>
      </c>
      <c r="K13" s="1080">
        <f>17128+8439+3920+5586</f>
        <v>35073</v>
      </c>
      <c r="L13" s="1081">
        <f>'7'!C181+'9'!C90+'8'!C193</f>
        <v>27300</v>
      </c>
      <c r="M13" s="1081">
        <f>'7'!D181+'9'!D90+'8'!D193</f>
        <v>-13440</v>
      </c>
      <c r="N13" s="1081">
        <f>L13+M13</f>
        <v>13860</v>
      </c>
      <c r="O13" s="1081">
        <f>'7'!F181+'9'!F90+'8'!F193</f>
        <v>0</v>
      </c>
      <c r="P13" s="1321">
        <f>N13+O13</f>
        <v>13860</v>
      </c>
    </row>
    <row r="14" spans="1:16" s="424" customFormat="1" ht="32.450000000000003" customHeight="1" x14ac:dyDescent="0.2">
      <c r="A14" s="430" t="s">
        <v>57</v>
      </c>
      <c r="B14" s="1071">
        <f>+B10+B4</f>
        <v>8112310</v>
      </c>
      <c r="C14" s="1071">
        <f t="shared" ref="C14:H14" si="4">+C10+C4</f>
        <v>4164306</v>
      </c>
      <c r="D14" s="1071">
        <f t="shared" si="4"/>
        <v>2715516</v>
      </c>
      <c r="E14" s="1071" t="e">
        <f t="shared" si="4"/>
        <v>#REF!</v>
      </c>
      <c r="F14" s="1071" t="e">
        <f t="shared" si="4"/>
        <v>#REF!</v>
      </c>
      <c r="G14" s="1071">
        <f t="shared" si="4"/>
        <v>407860</v>
      </c>
      <c r="H14" s="1314" t="e">
        <f t="shared" si="4"/>
        <v>#REF!</v>
      </c>
      <c r="I14" s="430" t="s">
        <v>58</v>
      </c>
      <c r="J14" s="1071">
        <f t="shared" ref="J14:P14" si="5">SUM(J10+J4)</f>
        <v>8760916</v>
      </c>
      <c r="K14" s="1071">
        <f t="shared" si="5"/>
        <v>3851712</v>
      </c>
      <c r="L14" s="1083">
        <f t="shared" si="5"/>
        <v>4549167</v>
      </c>
      <c r="M14" s="1083">
        <f t="shared" si="5"/>
        <v>307178</v>
      </c>
      <c r="N14" s="1083">
        <f t="shared" si="5"/>
        <v>4856345</v>
      </c>
      <c r="O14" s="1083">
        <f t="shared" si="5"/>
        <v>144236</v>
      </c>
      <c r="P14" s="1316">
        <f t="shared" si="5"/>
        <v>5000581</v>
      </c>
    </row>
    <row r="15" spans="1:16" s="431" customFormat="1" ht="32.450000000000003" customHeight="1" x14ac:dyDescent="0.2">
      <c r="A15" s="1307" t="s">
        <v>448</v>
      </c>
      <c r="B15" s="1072">
        <f>SUM(B16:B17)</f>
        <v>1024511</v>
      </c>
      <c r="C15" s="1072">
        <f>SUM(C16:C17)</f>
        <v>499853</v>
      </c>
      <c r="D15" s="1072">
        <f>'4'!C168+'6'!C25+'5'!C156</f>
        <v>797200</v>
      </c>
      <c r="E15" s="1072">
        <f>'4'!D168+'6'!D25+'5'!D156</f>
        <v>120566</v>
      </c>
      <c r="F15" s="1072">
        <f>D15+E15</f>
        <v>917766</v>
      </c>
      <c r="G15" s="1221"/>
      <c r="H15" s="1315">
        <f>F15+G15</f>
        <v>917766</v>
      </c>
      <c r="I15" s="1058" t="s">
        <v>139</v>
      </c>
      <c r="J15" s="1080">
        <v>234268</v>
      </c>
      <c r="K15" s="1080">
        <v>878671</v>
      </c>
      <c r="L15" s="1085">
        <f>'7'!C183</f>
        <v>0</v>
      </c>
      <c r="M15" s="1085">
        <f>'7'!D183</f>
        <v>0</v>
      </c>
      <c r="N15" s="1310">
        <f>'2'!P15</f>
        <v>1255795</v>
      </c>
      <c r="O15" s="1062"/>
      <c r="P15" s="1322">
        <f>N15+O15</f>
        <v>1255795</v>
      </c>
    </row>
    <row r="16" spans="1:16" s="429" customFormat="1" ht="32.450000000000003" customHeight="1" x14ac:dyDescent="0.2">
      <c r="A16" s="432" t="s">
        <v>52</v>
      </c>
      <c r="B16" s="1073">
        <v>368218</v>
      </c>
      <c r="C16" s="1073">
        <v>439853</v>
      </c>
      <c r="D16" s="1061">
        <f>'4'!C168+'5'!C157+'6'!C26</f>
        <v>110200</v>
      </c>
      <c r="E16" s="1061">
        <f>'4'!D168+'5'!D157+'6'!D26</f>
        <v>72706</v>
      </c>
      <c r="F16" s="1061">
        <f>D16+E16</f>
        <v>182906</v>
      </c>
      <c r="G16" s="1061">
        <f>'4'!F168+'5'!F157+'6'!F26</f>
        <v>0</v>
      </c>
      <c r="H16" s="1313">
        <f>'4'!G168+'5'!G157+'6'!G26</f>
        <v>182906</v>
      </c>
      <c r="I16" s="1059"/>
      <c r="J16" s="1085"/>
      <c r="K16" s="1062"/>
      <c r="L16" s="1084"/>
      <c r="M16" s="1062"/>
      <c r="N16" s="1085"/>
      <c r="O16" s="1062"/>
      <c r="P16" s="1322"/>
    </row>
    <row r="17" spans="1:16" s="424" customFormat="1" ht="32.450000000000003" customHeight="1" x14ac:dyDescent="0.2">
      <c r="A17" s="432" t="s">
        <v>56</v>
      </c>
      <c r="B17" s="1073">
        <v>656293</v>
      </c>
      <c r="C17" s="1073">
        <v>60000</v>
      </c>
      <c r="D17" s="1061">
        <f>'5'!C158+'6'!C27</f>
        <v>687000</v>
      </c>
      <c r="E17" s="1061">
        <f>'5'!D158+'6'!D27</f>
        <v>47860</v>
      </c>
      <c r="F17" s="1061">
        <f>D17+E17</f>
        <v>734860</v>
      </c>
      <c r="G17" s="1061">
        <f>'5'!F158+'6'!F27</f>
        <v>0</v>
      </c>
      <c r="H17" s="1313">
        <f>F17+G17</f>
        <v>734860</v>
      </c>
      <c r="I17" s="432"/>
      <c r="J17" s="1061"/>
      <c r="K17" s="1061"/>
      <c r="L17" s="1086"/>
      <c r="M17" s="1061"/>
      <c r="N17" s="1086"/>
      <c r="O17" s="1061"/>
      <c r="P17" s="1313"/>
    </row>
    <row r="18" spans="1:16" s="434" customFormat="1" ht="32.450000000000003" customHeight="1" x14ac:dyDescent="0.2">
      <c r="A18" s="433" t="s">
        <v>141</v>
      </c>
      <c r="B18" s="1074">
        <f t="shared" ref="B18:H18" si="6">B14+B15</f>
        <v>9136821</v>
      </c>
      <c r="C18" s="1074">
        <f t="shared" si="6"/>
        <v>4664159</v>
      </c>
      <c r="D18" s="1074">
        <f t="shared" si="6"/>
        <v>3512716</v>
      </c>
      <c r="E18" s="1074" t="e">
        <f t="shared" si="6"/>
        <v>#REF!</v>
      </c>
      <c r="F18" s="1074" t="e">
        <f t="shared" si="6"/>
        <v>#REF!</v>
      </c>
      <c r="G18" s="1074">
        <f t="shared" si="6"/>
        <v>407860</v>
      </c>
      <c r="H18" s="1316" t="e">
        <f t="shared" si="6"/>
        <v>#REF!</v>
      </c>
      <c r="I18" s="433" t="s">
        <v>142</v>
      </c>
      <c r="J18" s="1074">
        <f t="shared" ref="J18:P18" si="7">J14+J15</f>
        <v>8995184</v>
      </c>
      <c r="K18" s="1074">
        <f t="shared" si="7"/>
        <v>4730383</v>
      </c>
      <c r="L18" s="1083">
        <f t="shared" si="7"/>
        <v>4549167</v>
      </c>
      <c r="M18" s="1083">
        <f t="shared" si="7"/>
        <v>307178</v>
      </c>
      <c r="N18" s="1083">
        <f t="shared" si="7"/>
        <v>6112140</v>
      </c>
      <c r="O18" s="1083">
        <f t="shared" si="7"/>
        <v>144236</v>
      </c>
      <c r="P18" s="1316">
        <f t="shared" si="7"/>
        <v>6256376</v>
      </c>
    </row>
    <row r="19" spans="1:16" s="436" customFormat="1" ht="32.450000000000003" customHeight="1" x14ac:dyDescent="0.2">
      <c r="A19" s="435" t="s">
        <v>222</v>
      </c>
      <c r="B19" s="1063">
        <f t="shared" ref="B19:H19" si="8">B20+B21</f>
        <v>339436</v>
      </c>
      <c r="C19" s="1063">
        <f t="shared" si="8"/>
        <v>72000</v>
      </c>
      <c r="D19" s="1063">
        <f t="shared" si="8"/>
        <v>619345</v>
      </c>
      <c r="E19" s="1063">
        <f t="shared" si="8"/>
        <v>0</v>
      </c>
      <c r="F19" s="1063">
        <f t="shared" si="8"/>
        <v>619345</v>
      </c>
      <c r="G19" s="1063">
        <f t="shared" si="8"/>
        <v>880000</v>
      </c>
      <c r="H19" s="1317">
        <f t="shared" si="8"/>
        <v>1499345</v>
      </c>
      <c r="I19" s="435"/>
      <c r="J19" s="1063"/>
      <c r="K19" s="1063"/>
      <c r="L19" s="1084">
        <v>0</v>
      </c>
      <c r="M19" s="1084"/>
      <c r="N19" s="1084"/>
      <c r="O19" s="1062"/>
      <c r="P19" s="1322"/>
    </row>
    <row r="20" spans="1:16" s="424" customFormat="1" ht="32.450000000000003" customHeight="1" x14ac:dyDescent="0.2">
      <c r="A20" s="437" t="s">
        <v>482</v>
      </c>
      <c r="B20" s="1073">
        <v>45400</v>
      </c>
      <c r="C20" s="1073">
        <v>0</v>
      </c>
      <c r="D20" s="1061">
        <f>'5'!C155</f>
        <v>489345</v>
      </c>
      <c r="E20" s="1061">
        <f>'5'!D155</f>
        <v>0</v>
      </c>
      <c r="F20" s="1061">
        <f>D20+E20</f>
        <v>489345</v>
      </c>
      <c r="G20" s="1061">
        <f>'5'!F155</f>
        <v>880000</v>
      </c>
      <c r="H20" s="1313">
        <f>F20+G20</f>
        <v>1369345</v>
      </c>
      <c r="I20" s="432"/>
      <c r="J20" s="1061"/>
      <c r="K20" s="1061"/>
      <c r="L20" s="1086">
        <v>0</v>
      </c>
      <c r="M20" s="1061"/>
      <c r="N20" s="1086"/>
      <c r="O20" s="1061"/>
      <c r="P20" s="1313"/>
    </row>
    <row r="21" spans="1:16" s="424" customFormat="1" ht="32.450000000000003" customHeight="1" thickBot="1" x14ac:dyDescent="0.25">
      <c r="A21" s="438" t="s">
        <v>172</v>
      </c>
      <c r="B21" s="1075">
        <v>294036</v>
      </c>
      <c r="C21" s="1075">
        <v>72000</v>
      </c>
      <c r="D21" s="1064">
        <f>'5'!C154</f>
        <v>130000</v>
      </c>
      <c r="E21" s="1064">
        <f>'5'!D154</f>
        <v>0</v>
      </c>
      <c r="F21" s="1064">
        <f>D21+E21</f>
        <v>130000</v>
      </c>
      <c r="G21" s="1064">
        <f>'5'!F154</f>
        <v>0</v>
      </c>
      <c r="H21" s="1318">
        <f>F21+G21</f>
        <v>130000</v>
      </c>
      <c r="I21" s="1060"/>
      <c r="J21" s="1064"/>
      <c r="K21" s="1064"/>
      <c r="L21" s="1087">
        <v>0</v>
      </c>
      <c r="M21" s="1064"/>
      <c r="N21" s="1087"/>
      <c r="O21" s="1061"/>
      <c r="P21" s="1313"/>
    </row>
    <row r="22" spans="1:16" s="424" customFormat="1" ht="32.450000000000003" customHeight="1" thickBot="1" x14ac:dyDescent="0.25">
      <c r="A22" s="439" t="s">
        <v>59</v>
      </c>
      <c r="B22" s="1065">
        <f t="shared" ref="B22:H22" si="9">B18+B19</f>
        <v>9476257</v>
      </c>
      <c r="C22" s="1065">
        <f t="shared" si="9"/>
        <v>4736159</v>
      </c>
      <c r="D22" s="1065">
        <f t="shared" si="9"/>
        <v>4132061</v>
      </c>
      <c r="E22" s="1065" t="e">
        <f t="shared" si="9"/>
        <v>#REF!</v>
      </c>
      <c r="F22" s="1065" t="e">
        <f t="shared" si="9"/>
        <v>#REF!</v>
      </c>
      <c r="G22" s="1065">
        <f t="shared" si="9"/>
        <v>1287860</v>
      </c>
      <c r="H22" s="1319" t="e">
        <f t="shared" si="9"/>
        <v>#REF!</v>
      </c>
      <c r="I22" s="439" t="s">
        <v>60</v>
      </c>
      <c r="J22" s="1065">
        <f t="shared" ref="J22:P22" si="10">J18+J19</f>
        <v>8995184</v>
      </c>
      <c r="K22" s="1065">
        <f t="shared" si="10"/>
        <v>4730383</v>
      </c>
      <c r="L22" s="1066">
        <f t="shared" si="10"/>
        <v>4549167</v>
      </c>
      <c r="M22" s="1066">
        <f t="shared" si="10"/>
        <v>307178</v>
      </c>
      <c r="N22" s="1066">
        <f t="shared" si="10"/>
        <v>6112140</v>
      </c>
      <c r="O22" s="1066">
        <f t="shared" si="10"/>
        <v>144236</v>
      </c>
      <c r="P22" s="1319">
        <f t="shared" si="10"/>
        <v>6256376</v>
      </c>
    </row>
    <row r="23" spans="1:16" s="429" customFormat="1" ht="32.450000000000003" customHeight="1" thickBot="1" x14ac:dyDescent="0.25">
      <c r="A23" s="440" t="s">
        <v>130</v>
      </c>
      <c r="B23" s="1076">
        <f t="shared" ref="B23:H23" si="11">+B14-J14</f>
        <v>-648606</v>
      </c>
      <c r="C23" s="1077">
        <f t="shared" si="11"/>
        <v>312594</v>
      </c>
      <c r="D23" s="1078">
        <f t="shared" si="11"/>
        <v>-1833651</v>
      </c>
      <c r="E23" s="1078" t="e">
        <f t="shared" si="11"/>
        <v>#REF!</v>
      </c>
      <c r="F23" s="1077" t="e">
        <f t="shared" si="11"/>
        <v>#REF!</v>
      </c>
      <c r="G23" s="1077">
        <f t="shared" si="11"/>
        <v>263624</v>
      </c>
      <c r="H23" s="1320" t="e">
        <f t="shared" si="11"/>
        <v>#REF!</v>
      </c>
      <c r="I23" s="441"/>
      <c r="J23" s="1323"/>
      <c r="K23" s="1323"/>
      <c r="L23" s="1323"/>
      <c r="M23" s="1323"/>
      <c r="N23" s="1323"/>
      <c r="O23" s="1323"/>
      <c r="P23" s="1323"/>
    </row>
    <row r="24" spans="1:16" x14ac:dyDescent="0.2">
      <c r="A24" s="332"/>
      <c r="B24" s="332"/>
      <c r="C24" s="332"/>
      <c r="I24" s="334"/>
      <c r="J24" s="334"/>
      <c r="K24" s="334"/>
    </row>
    <row r="33" spans="1:8" x14ac:dyDescent="0.2">
      <c r="A33" s="331"/>
      <c r="B33" s="331"/>
      <c r="C33" s="331"/>
      <c r="D33" s="331"/>
      <c r="E33" s="331"/>
      <c r="F33" s="331"/>
      <c r="G33" s="331"/>
      <c r="H33" s="331"/>
    </row>
    <row r="34" spans="1:8" x14ac:dyDescent="0.2">
      <c r="A34" s="331"/>
      <c r="B34" s="331"/>
      <c r="C34" s="331"/>
      <c r="D34" s="331"/>
      <c r="E34" s="331"/>
      <c r="F34" s="331"/>
      <c r="G34" s="331"/>
      <c r="H34" s="331"/>
    </row>
    <row r="35" spans="1:8" x14ac:dyDescent="0.2">
      <c r="A35" s="331"/>
      <c r="B35" s="331"/>
      <c r="C35" s="331"/>
      <c r="D35" s="331"/>
      <c r="E35" s="331"/>
      <c r="F35" s="331"/>
      <c r="G35" s="331"/>
      <c r="H35" s="331"/>
    </row>
    <row r="36" spans="1:8" x14ac:dyDescent="0.2">
      <c r="A36" s="331"/>
      <c r="B36" s="331"/>
      <c r="C36" s="331"/>
      <c r="D36" s="331"/>
      <c r="E36" s="331"/>
      <c r="F36" s="331"/>
      <c r="G36" s="331"/>
      <c r="H36" s="331"/>
    </row>
    <row r="38" spans="1:8" x14ac:dyDescent="0.2">
      <c r="A38" s="331"/>
      <c r="B38" s="331"/>
      <c r="C38" s="331"/>
      <c r="D38" s="331"/>
      <c r="E38" s="331"/>
      <c r="F38" s="331"/>
      <c r="G38" s="331"/>
      <c r="H38" s="331"/>
    </row>
  </sheetData>
  <mergeCells count="1">
    <mergeCell ref="A1:N1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54" orientation="landscape" r:id="rId1"/>
  <headerFooter>
    <oddHeader>&amp;L&amp;"Arial,Dőlt"&amp;U1. sz. táblázat</oddHeader>
    <oddFooter>&amp;CNagykőrös Város Önkormányzat 2014. évi költségvetési rendeletének II. sz. módosítása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W38"/>
  <sheetViews>
    <sheetView view="pageLayout" zoomScale="90" zoomScaleNormal="70" zoomScaleSheetLayoutView="70" zoomScalePageLayoutView="90" workbookViewId="0">
      <selection activeCell="K19" sqref="K19"/>
    </sheetView>
  </sheetViews>
  <sheetFormatPr defaultColWidth="11.7109375" defaultRowHeight="28.5" customHeight="1" x14ac:dyDescent="0.25"/>
  <cols>
    <col min="1" max="1" width="52.42578125" style="45" customWidth="1"/>
    <col min="2" max="2" width="17.28515625" style="42" customWidth="1"/>
    <col min="3" max="3" width="16.140625" style="42" hidden="1" customWidth="1"/>
    <col min="4" max="4" width="16.85546875" style="42" hidden="1" customWidth="1"/>
    <col min="5" max="8" width="18.85546875" style="42" hidden="1" customWidth="1"/>
    <col min="9" max="11" width="18.85546875" style="42" customWidth="1"/>
    <col min="12" max="12" width="45" style="32" customWidth="1"/>
    <col min="13" max="13" width="18.28515625" style="32" customWidth="1"/>
    <col min="14" max="14" width="16.140625" style="32" hidden="1" customWidth="1"/>
    <col min="15" max="15" width="16.7109375" style="32" hidden="1" customWidth="1"/>
    <col min="16" max="19" width="18" style="32" hidden="1" customWidth="1"/>
    <col min="20" max="22" width="18" style="32" customWidth="1"/>
    <col min="23" max="23" width="19.140625" style="32" customWidth="1"/>
    <col min="24" max="16384" width="11.7109375" style="32"/>
  </cols>
  <sheetData>
    <row r="1" spans="1:23" ht="28.5" customHeight="1" x14ac:dyDescent="0.25">
      <c r="A1" s="1574" t="s">
        <v>203</v>
      </c>
      <c r="B1" s="1574"/>
      <c r="C1" s="1574"/>
      <c r="D1" s="1574"/>
      <c r="E1" s="1574"/>
      <c r="F1" s="1574"/>
      <c r="G1" s="1574"/>
      <c r="H1" s="1574"/>
      <c r="I1" s="1574"/>
      <c r="J1" s="1574"/>
      <c r="K1" s="1574"/>
      <c r="L1" s="1574"/>
      <c r="M1" s="1574"/>
      <c r="N1" s="1574"/>
      <c r="O1" s="1574"/>
      <c r="P1" s="1574"/>
      <c r="Q1" s="1574"/>
      <c r="R1" s="1574"/>
      <c r="S1" s="1574"/>
      <c r="T1" s="1574"/>
      <c r="U1" s="1574"/>
      <c r="V1" s="1574"/>
      <c r="W1" s="1574"/>
    </row>
    <row r="2" spans="1:23" ht="28.5" customHeight="1" thickBot="1" x14ac:dyDescent="0.3">
      <c r="A2" s="30"/>
      <c r="B2" s="30"/>
      <c r="C2" s="30"/>
      <c r="D2" s="30"/>
      <c r="E2" s="30"/>
      <c r="F2" s="1203"/>
      <c r="G2" s="1203"/>
      <c r="H2" s="1476"/>
      <c r="I2" s="1476"/>
      <c r="J2" s="1524"/>
      <c r="K2" s="1524"/>
      <c r="L2" s="30"/>
      <c r="M2" s="30"/>
      <c r="N2" s="30"/>
      <c r="O2" s="30"/>
      <c r="P2" s="30"/>
      <c r="Q2" s="1203"/>
      <c r="R2" s="1203"/>
      <c r="S2" s="1476"/>
      <c r="T2" s="1476"/>
      <c r="U2" s="1524"/>
      <c r="V2" s="1524"/>
      <c r="W2" s="31"/>
    </row>
    <row r="3" spans="1:23" ht="85.9" customHeight="1" x14ac:dyDescent="0.3">
      <c r="A3" s="464" t="s">
        <v>44</v>
      </c>
      <c r="B3" s="465" t="s">
        <v>289</v>
      </c>
      <c r="C3" s="466" t="s">
        <v>481</v>
      </c>
      <c r="D3" s="466" t="s">
        <v>152</v>
      </c>
      <c r="E3" s="467" t="s">
        <v>157</v>
      </c>
      <c r="F3" s="467" t="s">
        <v>879</v>
      </c>
      <c r="G3" s="467" t="s">
        <v>932</v>
      </c>
      <c r="H3" s="1481" t="s">
        <v>879</v>
      </c>
      <c r="I3" s="1480" t="s">
        <v>932</v>
      </c>
      <c r="J3" s="1481" t="s">
        <v>879</v>
      </c>
      <c r="K3" s="1480" t="s">
        <v>880</v>
      </c>
      <c r="L3" s="464" t="s">
        <v>45</v>
      </c>
      <c r="M3" s="465" t="s">
        <v>289</v>
      </c>
      <c r="N3" s="468" t="s">
        <v>832</v>
      </c>
      <c r="O3" s="466" t="s">
        <v>152</v>
      </c>
      <c r="P3" s="467" t="s">
        <v>157</v>
      </c>
      <c r="Q3" s="467" t="s">
        <v>879</v>
      </c>
      <c r="R3" s="467" t="s">
        <v>932</v>
      </c>
      <c r="S3" s="467" t="s">
        <v>879</v>
      </c>
      <c r="T3" s="467" t="s">
        <v>932</v>
      </c>
      <c r="U3" s="467" t="s">
        <v>879</v>
      </c>
      <c r="V3" s="467" t="s">
        <v>880</v>
      </c>
      <c r="W3" s="486" t="s">
        <v>140</v>
      </c>
    </row>
    <row r="4" spans="1:23" s="33" customFormat="1" ht="40.9" customHeight="1" x14ac:dyDescent="0.2">
      <c r="A4" s="469" t="s">
        <v>46</v>
      </c>
      <c r="B4" s="470">
        <f t="shared" ref="B4:G4" si="0">SUM(B5:B9)</f>
        <v>2678166</v>
      </c>
      <c r="C4" s="470">
        <f t="shared" si="0"/>
        <v>0</v>
      </c>
      <c r="D4" s="470" t="e">
        <f t="shared" si="0"/>
        <v>#REF!</v>
      </c>
      <c r="E4" s="470">
        <f t="shared" si="0"/>
        <v>2856272</v>
      </c>
      <c r="F4" s="470">
        <f t="shared" si="0"/>
        <v>270640</v>
      </c>
      <c r="G4" s="470">
        <f t="shared" si="0"/>
        <v>3126857</v>
      </c>
      <c r="H4" s="1482">
        <f>SUM(H5:H9)</f>
        <v>53090</v>
      </c>
      <c r="I4" s="1478">
        <f>SUM(I5:I9)</f>
        <v>3179947</v>
      </c>
      <c r="J4" s="1482">
        <f>SUM(J5:J9)</f>
        <v>264449</v>
      </c>
      <c r="K4" s="1478">
        <f>SUM(K5:K9)</f>
        <v>3444396</v>
      </c>
      <c r="L4" s="469" t="s">
        <v>47</v>
      </c>
      <c r="M4" s="470">
        <f t="shared" ref="M4:V4" si="1">SUM(M5:M9)</f>
        <v>2695283</v>
      </c>
      <c r="N4" s="470">
        <f t="shared" si="1"/>
        <v>0</v>
      </c>
      <c r="O4" s="470">
        <f t="shared" si="1"/>
        <v>103480</v>
      </c>
      <c r="P4" s="470">
        <f t="shared" si="1"/>
        <v>2871539</v>
      </c>
      <c r="Q4" s="470">
        <f t="shared" si="1"/>
        <v>117132</v>
      </c>
      <c r="R4" s="470">
        <f t="shared" si="1"/>
        <v>2983253</v>
      </c>
      <c r="S4" s="470">
        <f t="shared" si="1"/>
        <v>40320</v>
      </c>
      <c r="T4" s="470">
        <f t="shared" si="1"/>
        <v>3023573</v>
      </c>
      <c r="U4" s="470">
        <f t="shared" si="1"/>
        <v>333890</v>
      </c>
      <c r="V4" s="470">
        <f t="shared" si="1"/>
        <v>3357463</v>
      </c>
      <c r="W4" s="1212">
        <f t="shared" ref="W4:W22" si="2">K4-V4</f>
        <v>86933</v>
      </c>
    </row>
    <row r="5" spans="1:23" s="33" customFormat="1" ht="37.15" customHeight="1" x14ac:dyDescent="0.2">
      <c r="A5" s="472" t="s">
        <v>373</v>
      </c>
      <c r="B5" s="1205">
        <f>'4'!C160+'5'!C3+'6'!C3</f>
        <v>1299158</v>
      </c>
      <c r="C5" s="1237"/>
      <c r="D5" s="1205">
        <f>'4'!D160+'5'!D3+'6'!D3</f>
        <v>71487</v>
      </c>
      <c r="E5" s="1205">
        <v>1442015</v>
      </c>
      <c r="F5" s="1205">
        <f>'4'!H160+'5'!F3+'6'!H3</f>
        <v>198309</v>
      </c>
      <c r="G5" s="1205">
        <f>SUM(E5:F5)</f>
        <v>1640324</v>
      </c>
      <c r="H5" s="1205">
        <f>'4'!J160+'5'!H3+'6'!J3</f>
        <v>27746</v>
      </c>
      <c r="I5" s="1205">
        <f>SUM(G5:H5)</f>
        <v>1668070</v>
      </c>
      <c r="J5" s="1205">
        <f>'4'!L160+'5'!J3+'6'!L3+10490</f>
        <v>-4493</v>
      </c>
      <c r="K5" s="1205">
        <f>SUM(I5:J5)</f>
        <v>1663577</v>
      </c>
      <c r="L5" s="1234" t="s">
        <v>41</v>
      </c>
      <c r="M5" s="1213">
        <f>'7'!C173+'8'!C185+'9'!C82</f>
        <v>893102</v>
      </c>
      <c r="N5" s="1207"/>
      <c r="O5" s="1213">
        <f>'7'!D173+'8'!D185+'9'!D82</f>
        <v>89653</v>
      </c>
      <c r="P5" s="1213">
        <f>'7'!G173+'8'!E185+'9'!E82</f>
        <v>1027468</v>
      </c>
      <c r="Q5" s="1213">
        <f>'7'!H173+'8'!F185+'9'!F82</f>
        <v>42511</v>
      </c>
      <c r="R5" s="1213">
        <f>SUM(P5:Q5)</f>
        <v>1069979</v>
      </c>
      <c r="S5" s="1213">
        <f>'7'!J173+'8'!H185+'9'!H82</f>
        <v>13013</v>
      </c>
      <c r="T5" s="1213">
        <f>SUM(R5:S5)</f>
        <v>1082992</v>
      </c>
      <c r="U5" s="1213">
        <f>'7'!L173+'8'!J185+'9'!J82</f>
        <v>20783</v>
      </c>
      <c r="V5" s="1213">
        <f>SUM(T5:U5)</f>
        <v>1103775</v>
      </c>
      <c r="W5" s="1554">
        <f t="shared" si="2"/>
        <v>559802</v>
      </c>
    </row>
    <row r="6" spans="1:23" s="34" customFormat="1" ht="37.15" customHeight="1" x14ac:dyDescent="0.2">
      <c r="A6" s="472" t="s">
        <v>383</v>
      </c>
      <c r="B6" s="1205">
        <f>'4'!C161+'5'!C83+'6'!C5</f>
        <v>866650</v>
      </c>
      <c r="C6" s="1206"/>
      <c r="D6" s="1205">
        <f>'4'!D161+'5'!D83+'6'!D5</f>
        <v>800</v>
      </c>
      <c r="E6" s="1205">
        <v>867350</v>
      </c>
      <c r="F6" s="1205">
        <f>'5'!F83</f>
        <v>32000</v>
      </c>
      <c r="G6" s="1205">
        <f t="shared" ref="G6:I7" si="3">SUM(E6:F6)</f>
        <v>899350</v>
      </c>
      <c r="H6" s="1205">
        <f>'5'!H83</f>
        <v>5500</v>
      </c>
      <c r="I6" s="1205">
        <f t="shared" si="3"/>
        <v>904850</v>
      </c>
      <c r="J6" s="1205">
        <f>'4'!L162+'5'!J83+'6'!L5</f>
        <v>258257</v>
      </c>
      <c r="K6" s="1205">
        <f>SUM(I6:J6)</f>
        <v>1163107</v>
      </c>
      <c r="L6" s="1234" t="s">
        <v>309</v>
      </c>
      <c r="M6" s="1213">
        <f>'7'!C174+'8'!C186+'9'!C83</f>
        <v>256331</v>
      </c>
      <c r="N6" s="1206"/>
      <c r="O6" s="1213">
        <f>'7'!D174+'8'!D186+'9'!D83</f>
        <v>20208</v>
      </c>
      <c r="P6" s="1213">
        <f>'7'!G174+'8'!E186+'9'!E83</f>
        <v>284682</v>
      </c>
      <c r="Q6" s="1213">
        <f>'7'!H174+'8'!F186+'9'!F83</f>
        <v>3910</v>
      </c>
      <c r="R6" s="1213">
        <f>SUM(P6:Q6)</f>
        <v>288592</v>
      </c>
      <c r="S6" s="1213">
        <f>'7'!J174+'8'!H186+'9'!H83</f>
        <v>1454</v>
      </c>
      <c r="T6" s="1213">
        <f>SUM(R6:S6)</f>
        <v>290046</v>
      </c>
      <c r="U6" s="1213">
        <f>'7'!L174+'8'!J186+'9'!J83</f>
        <v>2067</v>
      </c>
      <c r="V6" s="1213">
        <f>SUM(T6:U6)</f>
        <v>292113</v>
      </c>
      <c r="W6" s="1554">
        <f t="shared" si="2"/>
        <v>870994</v>
      </c>
    </row>
    <row r="7" spans="1:23" s="34" customFormat="1" ht="33" customHeight="1" x14ac:dyDescent="0.2">
      <c r="A7" s="472" t="s">
        <v>48</v>
      </c>
      <c r="B7" s="1205">
        <f>'4'!C163+'5'!C97+'6'!C10</f>
        <v>511758</v>
      </c>
      <c r="C7" s="1206"/>
      <c r="D7" s="1205" t="e">
        <f>'4'!D163+'5'!D97+'6'!D10</f>
        <v>#REF!</v>
      </c>
      <c r="E7" s="1205">
        <v>545527</v>
      </c>
      <c r="F7" s="1205">
        <f>'4'!H163+'5'!F97+'6'!H10</f>
        <v>32780</v>
      </c>
      <c r="G7" s="1205">
        <f t="shared" si="3"/>
        <v>578307</v>
      </c>
      <c r="H7" s="1205">
        <f>'4'!J163+'5'!H97+'6'!J10</f>
        <v>19844</v>
      </c>
      <c r="I7" s="1205">
        <f t="shared" si="3"/>
        <v>598151</v>
      </c>
      <c r="J7" s="1205">
        <f>'4'!L163+'5'!J97+'6'!L10-10490</f>
        <v>17476</v>
      </c>
      <c r="K7" s="1205">
        <f>SUM(I7:J7)</f>
        <v>615627</v>
      </c>
      <c r="L7" s="1234" t="s">
        <v>133</v>
      </c>
      <c r="M7" s="1213">
        <f>'7'!C175+'8'!C187+'9'!C84</f>
        <v>880050</v>
      </c>
      <c r="N7" s="1206"/>
      <c r="O7" s="1213">
        <f>'7'!D175+'8'!D187+'9'!D84</f>
        <v>60669</v>
      </c>
      <c r="P7" s="1213">
        <f>'7'!G175+'8'!E187+'9'!E84</f>
        <v>986370</v>
      </c>
      <c r="Q7" s="1213">
        <f>'7'!H175+'8'!F187+'9'!F84</f>
        <v>43263</v>
      </c>
      <c r="R7" s="1213">
        <f>SUM(P7:Q7)</f>
        <v>1029633</v>
      </c>
      <c r="S7" s="1213">
        <f>'7'!J175+'8'!H187+'9'!H84+5000</f>
        <v>43081</v>
      </c>
      <c r="T7" s="1213">
        <f>SUM(R7:S7)</f>
        <v>1072714</v>
      </c>
      <c r="U7" s="1213">
        <f>'7'!L175+'8'!J187+'9'!J84</f>
        <v>84406</v>
      </c>
      <c r="V7" s="1213">
        <f>SUM(T7:U7)</f>
        <v>1157120</v>
      </c>
      <c r="W7" s="1554">
        <f t="shared" si="2"/>
        <v>-541493</v>
      </c>
    </row>
    <row r="8" spans="1:23" s="33" customFormat="1" ht="33" customHeight="1" x14ac:dyDescent="0.2">
      <c r="A8" s="472" t="s">
        <v>385</v>
      </c>
      <c r="B8" s="1205">
        <f>'4'!C165+'5'!C139+'6'!C22</f>
        <v>600</v>
      </c>
      <c r="C8" s="1207"/>
      <c r="D8" s="1205">
        <f>'4'!D165+'5'!D139+'6'!D22</f>
        <v>5920</v>
      </c>
      <c r="E8" s="1205">
        <v>1380</v>
      </c>
      <c r="F8" s="1205">
        <f>'4'!H165+'5'!F139+'6'!H22</f>
        <v>7551</v>
      </c>
      <c r="G8" s="1205">
        <v>8876</v>
      </c>
      <c r="H8" s="1205">
        <f>'4'!J165+'5'!H139+'6'!J22</f>
        <v>0</v>
      </c>
      <c r="I8" s="1205">
        <f>SUM(G8:H8)</f>
        <v>8876</v>
      </c>
      <c r="J8" s="1205">
        <f>'4'!L165+'5'!J139+'6'!L22</f>
        <v>-6791</v>
      </c>
      <c r="K8" s="1205">
        <f>SUM(I8:J8)</f>
        <v>2085</v>
      </c>
      <c r="L8" s="1234" t="s">
        <v>43</v>
      </c>
      <c r="M8" s="1213">
        <f>'7'!C176+'8'!C188+'9'!C85</f>
        <v>433600</v>
      </c>
      <c r="N8" s="1207"/>
      <c r="O8" s="1213">
        <f>'7'!D176+'8'!D188+'9'!D85</f>
        <v>0</v>
      </c>
      <c r="P8" s="1213">
        <f>'7'!G176+'8'!E188+'9'!E85</f>
        <v>433700</v>
      </c>
      <c r="Q8" s="1213">
        <f>'7'!H176+'8'!F188+'9'!F85</f>
        <v>8093</v>
      </c>
      <c r="R8" s="1213">
        <f>SUM(P8:Q8)</f>
        <v>441793</v>
      </c>
      <c r="S8" s="1213">
        <f>'8'!H188</f>
        <v>12383</v>
      </c>
      <c r="T8" s="1213">
        <f>SUM(R8:S8)</f>
        <v>454176</v>
      </c>
      <c r="U8" s="1213">
        <f>'7'!L176+'8'!J188+'9'!J85</f>
        <v>-20000</v>
      </c>
      <c r="V8" s="1213">
        <f>SUM(T8:U8)</f>
        <v>434176</v>
      </c>
      <c r="W8" s="1554">
        <f t="shared" si="2"/>
        <v>-432091</v>
      </c>
    </row>
    <row r="9" spans="1:23" s="35" customFormat="1" ht="33" customHeight="1" x14ac:dyDescent="0.2">
      <c r="A9" s="474"/>
      <c r="B9" s="1205" t="s">
        <v>99</v>
      </c>
      <c r="C9" s="1205">
        <v>0</v>
      </c>
      <c r="D9" s="1205">
        <v>0</v>
      </c>
      <c r="E9" s="1205" t="s">
        <v>99</v>
      </c>
      <c r="F9" s="1205"/>
      <c r="G9" s="1205"/>
      <c r="H9" s="1483"/>
      <c r="I9" s="1479"/>
      <c r="J9" s="1479"/>
      <c r="K9" s="1479"/>
      <c r="L9" s="1234" t="s">
        <v>368</v>
      </c>
      <c r="M9" s="1213">
        <f>'7'!C177+'8'!C189+'9'!C86</f>
        <v>232200</v>
      </c>
      <c r="N9" s="1209"/>
      <c r="O9" s="1213">
        <f>'7'!D177+'8'!D189+'9'!D86</f>
        <v>-67050</v>
      </c>
      <c r="P9" s="1213">
        <f>'7'!G177+'8'!E189+'9'!E86</f>
        <v>139319</v>
      </c>
      <c r="Q9" s="1213">
        <f>'7'!H177+'8'!F189+'9'!F86</f>
        <v>19355</v>
      </c>
      <c r="R9" s="1213">
        <v>153256</v>
      </c>
      <c r="S9" s="1213">
        <f>'7'!J177+'8'!H189+'9'!H86</f>
        <v>-29611</v>
      </c>
      <c r="T9" s="1213">
        <f>SUM(R9:S9)</f>
        <v>123645</v>
      </c>
      <c r="U9" s="1213">
        <f>'7'!L177+'8'!J189+'9'!J86</f>
        <v>246634</v>
      </c>
      <c r="V9" s="1213">
        <f>SUM(T9:U9)</f>
        <v>370279</v>
      </c>
      <c r="W9" s="1554">
        <f t="shared" si="2"/>
        <v>-370279</v>
      </c>
    </row>
    <row r="10" spans="1:23" s="33" customFormat="1" ht="40.9" customHeight="1" x14ac:dyDescent="0.2">
      <c r="A10" s="475" t="s">
        <v>53</v>
      </c>
      <c r="B10" s="470">
        <f t="shared" ref="B10:K10" si="4">SUM(B11:B13)</f>
        <v>454456</v>
      </c>
      <c r="C10" s="470">
        <f t="shared" si="4"/>
        <v>0</v>
      </c>
      <c r="D10" s="470">
        <f t="shared" si="4"/>
        <v>461221</v>
      </c>
      <c r="E10" s="470">
        <f t="shared" si="4"/>
        <v>1025022</v>
      </c>
      <c r="F10" s="470">
        <f t="shared" si="4"/>
        <v>-146648</v>
      </c>
      <c r="G10" s="470">
        <f t="shared" si="4"/>
        <v>878374</v>
      </c>
      <c r="H10" s="470">
        <f t="shared" si="4"/>
        <v>0</v>
      </c>
      <c r="I10" s="470">
        <f t="shared" si="4"/>
        <v>878374</v>
      </c>
      <c r="J10" s="470">
        <f t="shared" si="4"/>
        <v>10268</v>
      </c>
      <c r="K10" s="470">
        <f t="shared" si="4"/>
        <v>888642</v>
      </c>
      <c r="L10" s="475" t="s">
        <v>54</v>
      </c>
      <c r="M10" s="470">
        <f t="shared" ref="M10:V10" si="5">SUM(M11:M13)</f>
        <v>1853884</v>
      </c>
      <c r="N10" s="470">
        <f t="shared" si="5"/>
        <v>0</v>
      </c>
      <c r="O10" s="470">
        <f t="shared" si="5"/>
        <v>203698</v>
      </c>
      <c r="P10" s="470">
        <f t="shared" si="5"/>
        <v>2087312</v>
      </c>
      <c r="Q10" s="470">
        <f t="shared" si="5"/>
        <v>12223</v>
      </c>
      <c r="R10" s="470">
        <f t="shared" si="5"/>
        <v>2099535</v>
      </c>
      <c r="S10" s="470">
        <f t="shared" si="5"/>
        <v>11270</v>
      </c>
      <c r="T10" s="470">
        <f t="shared" si="5"/>
        <v>2110805</v>
      </c>
      <c r="U10" s="470">
        <f t="shared" si="5"/>
        <v>-59173</v>
      </c>
      <c r="V10" s="470">
        <f t="shared" si="5"/>
        <v>2051632</v>
      </c>
      <c r="W10" s="1212">
        <f t="shared" si="2"/>
        <v>-1162990</v>
      </c>
    </row>
    <row r="11" spans="1:23" s="33" customFormat="1" ht="42" customHeight="1" x14ac:dyDescent="0.2">
      <c r="A11" s="472" t="s">
        <v>374</v>
      </c>
      <c r="B11" s="1205">
        <v>417106</v>
      </c>
      <c r="C11" s="1207"/>
      <c r="D11" s="1205">
        <f>'4'!D177+'5'!D68+'6'!D4</f>
        <v>461054</v>
      </c>
      <c r="E11" s="1205">
        <v>982990</v>
      </c>
      <c r="F11" s="1205">
        <f>'4'!H161+'5'!F69+'6'!F4</f>
        <v>-146848</v>
      </c>
      <c r="G11" s="1205">
        <f t="shared" ref="G11:K13" si="6">SUM(E11:F11)</f>
        <v>836142</v>
      </c>
      <c r="H11" s="1205">
        <f>'4'!J161+'5'!H69+'6'!H4</f>
        <v>0</v>
      </c>
      <c r="I11" s="1205">
        <f t="shared" si="6"/>
        <v>836142</v>
      </c>
      <c r="J11" s="1205">
        <f>'4'!L161+'5'!J69+'6'!L4</f>
        <v>2731</v>
      </c>
      <c r="K11" s="1205">
        <f t="shared" si="6"/>
        <v>838873</v>
      </c>
      <c r="L11" s="1234" t="s">
        <v>370</v>
      </c>
      <c r="M11" s="1213">
        <f>'7'!C179+'9'!C88+'8'!C191</f>
        <v>1733104</v>
      </c>
      <c r="N11" s="1207"/>
      <c r="O11" s="1213">
        <f>'7'!D179+'9'!D88+'8'!D191</f>
        <v>133383</v>
      </c>
      <c r="P11" s="1213">
        <f>'7'!G179+'9'!E88+'8'!E191</f>
        <v>1895163</v>
      </c>
      <c r="Q11" s="1213">
        <f>'7'!H179+'9'!F88+'8'!F191</f>
        <v>12349</v>
      </c>
      <c r="R11" s="1213">
        <f>SUM(P11:Q11)</f>
        <v>1907512</v>
      </c>
      <c r="S11" s="1213">
        <f>'7'!J179+'9'!H88+'8'!H191</f>
        <v>14370</v>
      </c>
      <c r="T11" s="1213">
        <f>SUM(R11:S11)</f>
        <v>1921882</v>
      </c>
      <c r="U11" s="1213">
        <f>'7'!L179+'9'!J88+'8'!J191</f>
        <v>-56965</v>
      </c>
      <c r="V11" s="1213">
        <f>SUM(T11:U11)</f>
        <v>1864917</v>
      </c>
      <c r="W11" s="1554">
        <f t="shared" si="2"/>
        <v>-1026044</v>
      </c>
    </row>
    <row r="12" spans="1:23" s="33" customFormat="1" ht="33" customHeight="1" x14ac:dyDescent="0.2">
      <c r="A12" s="472" t="s">
        <v>384</v>
      </c>
      <c r="B12" s="1205">
        <f>+'4'!C180+'5'!C128+'6'!C21</f>
        <v>0</v>
      </c>
      <c r="C12" s="1207"/>
      <c r="D12" s="1205">
        <f>+'4'!D180+'5'!D128+'6'!D21</f>
        <v>167</v>
      </c>
      <c r="E12" s="1205">
        <f>+'4'!G180+'5'!E128+'6'!E21</f>
        <v>4167</v>
      </c>
      <c r="F12" s="1205">
        <f>'4'!H164+'5'!F128+'6'!H21</f>
        <v>0</v>
      </c>
      <c r="G12" s="1205">
        <f t="shared" si="6"/>
        <v>4167</v>
      </c>
      <c r="H12" s="1205">
        <f>'4'!J164+'5'!H128+'6'!J21</f>
        <v>0</v>
      </c>
      <c r="I12" s="1205">
        <f t="shared" si="6"/>
        <v>4167</v>
      </c>
      <c r="J12" s="1205">
        <f>'4'!L164+'5'!J128+'6'!L21</f>
        <v>6913</v>
      </c>
      <c r="K12" s="1205">
        <f t="shared" si="6"/>
        <v>11080</v>
      </c>
      <c r="L12" s="1234" t="s">
        <v>55</v>
      </c>
      <c r="M12" s="1213">
        <f>'7'!C180+'9'!C89+'8'!C192</f>
        <v>93480</v>
      </c>
      <c r="N12" s="1207"/>
      <c r="O12" s="1213">
        <f>'7'!D180+'9'!D89+'8'!D192</f>
        <v>83755</v>
      </c>
      <c r="P12" s="1213">
        <f>'7'!G180+'9'!E89+'8'!E192</f>
        <v>178289</v>
      </c>
      <c r="Q12" s="1213">
        <f>'7'!H180+'9'!F89+'8'!F192</f>
        <v>-126</v>
      </c>
      <c r="R12" s="1213">
        <f>SUM(P12:Q12)</f>
        <v>178163</v>
      </c>
      <c r="S12" s="1213">
        <f>'7'!J180+'9'!H89+'8'!H192</f>
        <v>-3100</v>
      </c>
      <c r="T12" s="1213">
        <f>SUM(R12:S12)</f>
        <v>175063</v>
      </c>
      <c r="U12" s="1213">
        <f>'7'!L180+'9'!J89+'8'!J192</f>
        <v>-2208</v>
      </c>
      <c r="V12" s="1213">
        <f>SUM(T12:U12)</f>
        <v>172855</v>
      </c>
      <c r="W12" s="1554">
        <f t="shared" si="2"/>
        <v>-161775</v>
      </c>
    </row>
    <row r="13" spans="1:23" s="33" customFormat="1" ht="33" customHeight="1" x14ac:dyDescent="0.2">
      <c r="A13" s="472" t="s">
        <v>386</v>
      </c>
      <c r="B13" s="1205">
        <f>'4'!C182+'5'!C144+'6'!C23</f>
        <v>37350</v>
      </c>
      <c r="C13" s="1237"/>
      <c r="D13" s="1205">
        <f>'4'!D182+'5'!D144+'6'!D23</f>
        <v>0</v>
      </c>
      <c r="E13" s="1205">
        <v>37865</v>
      </c>
      <c r="F13" s="1205">
        <f>'4'!H166+'5'!F144+'6'!H23</f>
        <v>200</v>
      </c>
      <c r="G13" s="1205">
        <f t="shared" si="6"/>
        <v>38065</v>
      </c>
      <c r="H13" s="1205">
        <f>'4'!J166+'5'!H144+'6'!J23</f>
        <v>0</v>
      </c>
      <c r="I13" s="1205">
        <f t="shared" si="6"/>
        <v>38065</v>
      </c>
      <c r="J13" s="1205">
        <f>'4'!L166+'5'!J144+'6'!L23</f>
        <v>624</v>
      </c>
      <c r="K13" s="1205">
        <f t="shared" si="6"/>
        <v>38689</v>
      </c>
      <c r="L13" s="1234" t="s">
        <v>371</v>
      </c>
      <c r="M13" s="1213">
        <f>'7'!C181+'9'!C90+'8'!C193</f>
        <v>27300</v>
      </c>
      <c r="N13" s="1207"/>
      <c r="O13" s="1213">
        <f>'7'!D181+'9'!D90+'8'!D193</f>
        <v>-13440</v>
      </c>
      <c r="P13" s="1213">
        <f>'7'!G181+'9'!E90+'8'!E193</f>
        <v>13860</v>
      </c>
      <c r="Q13" s="1213">
        <f>'7'!H181+'9'!F90+'8'!F193</f>
        <v>0</v>
      </c>
      <c r="R13" s="1213">
        <f>SUM(P13:Q13)</f>
        <v>13860</v>
      </c>
      <c r="S13" s="1213">
        <f>'7'!J181+'9'!H90+'8'!H193</f>
        <v>0</v>
      </c>
      <c r="T13" s="1213">
        <f>SUM(R13:S13)</f>
        <v>13860</v>
      </c>
      <c r="U13" s="1213">
        <f>'7'!L181+'9'!J90+'8'!J193</f>
        <v>0</v>
      </c>
      <c r="V13" s="1213">
        <f>SUM(T13:U13)</f>
        <v>13860</v>
      </c>
      <c r="W13" s="1554">
        <f t="shared" si="2"/>
        <v>24829</v>
      </c>
    </row>
    <row r="14" spans="1:23" s="33" customFormat="1" ht="40.9" customHeight="1" x14ac:dyDescent="0.2">
      <c r="A14" s="475" t="s">
        <v>57</v>
      </c>
      <c r="B14" s="470">
        <f t="shared" ref="B14:K14" si="7">+B10+B4</f>
        <v>3132622</v>
      </c>
      <c r="C14" s="470">
        <f t="shared" si="7"/>
        <v>0</v>
      </c>
      <c r="D14" s="470" t="e">
        <f t="shared" si="7"/>
        <v>#REF!</v>
      </c>
      <c r="E14" s="470">
        <f t="shared" si="7"/>
        <v>3881294</v>
      </c>
      <c r="F14" s="470">
        <f t="shared" si="7"/>
        <v>123992</v>
      </c>
      <c r="G14" s="470">
        <f t="shared" si="7"/>
        <v>4005231</v>
      </c>
      <c r="H14" s="470">
        <f t="shared" si="7"/>
        <v>53090</v>
      </c>
      <c r="I14" s="470">
        <f t="shared" si="7"/>
        <v>4058321</v>
      </c>
      <c r="J14" s="470">
        <f t="shared" si="7"/>
        <v>274717</v>
      </c>
      <c r="K14" s="470">
        <f t="shared" si="7"/>
        <v>4333038</v>
      </c>
      <c r="L14" s="475" t="s">
        <v>58</v>
      </c>
      <c r="M14" s="470">
        <f t="shared" ref="M14:V14" si="8">SUM(M10+M4)</f>
        <v>4549167</v>
      </c>
      <c r="N14" s="470">
        <f t="shared" si="8"/>
        <v>0</v>
      </c>
      <c r="O14" s="470">
        <f t="shared" si="8"/>
        <v>307178</v>
      </c>
      <c r="P14" s="470">
        <f t="shared" si="8"/>
        <v>4958851</v>
      </c>
      <c r="Q14" s="470">
        <f t="shared" si="8"/>
        <v>129355</v>
      </c>
      <c r="R14" s="470">
        <f t="shared" si="8"/>
        <v>5082788</v>
      </c>
      <c r="S14" s="470">
        <f t="shared" si="8"/>
        <v>51590</v>
      </c>
      <c r="T14" s="470">
        <f t="shared" si="8"/>
        <v>5134378</v>
      </c>
      <c r="U14" s="470">
        <f t="shared" si="8"/>
        <v>274717</v>
      </c>
      <c r="V14" s="470">
        <f t="shared" si="8"/>
        <v>5409095</v>
      </c>
      <c r="W14" s="1212">
        <f t="shared" si="2"/>
        <v>-1076057</v>
      </c>
    </row>
    <row r="15" spans="1:23" s="36" customFormat="1" ht="33" customHeight="1" x14ac:dyDescent="0.2">
      <c r="A15" s="472" t="s">
        <v>448</v>
      </c>
      <c r="B15" s="1208">
        <f>'4'!C168+'6'!C25+'5'!C156</f>
        <v>797200</v>
      </c>
      <c r="C15" s="1209"/>
      <c r="D15" s="1208">
        <f>'4'!D168+'6'!D25+'5'!D156</f>
        <v>120566</v>
      </c>
      <c r="E15" s="1208">
        <f>'4'!G168+'6'!E25+'5'!E156</f>
        <v>917766</v>
      </c>
      <c r="F15" s="1208">
        <v>0</v>
      </c>
      <c r="G15" s="1208">
        <f>'4'!G168+'6'!G25+'5'!G156</f>
        <v>917766</v>
      </c>
      <c r="H15" s="1208">
        <v>0</v>
      </c>
      <c r="I15" s="1208">
        <f>'4'!I168+'6'!I25+'5'!I156</f>
        <v>917766</v>
      </c>
      <c r="J15" s="1536"/>
      <c r="K15" s="1208">
        <f>'4'!K168+'6'!K25+'5'!K156</f>
        <v>917766</v>
      </c>
      <c r="L15" s="1234" t="s">
        <v>139</v>
      </c>
      <c r="M15" s="1211">
        <f>'7'!C183</f>
        <v>0</v>
      </c>
      <c r="N15" s="1211">
        <f>'7'!D183</f>
        <v>0</v>
      </c>
      <c r="O15" s="1211">
        <f>'7'!E183+'8'!E197</f>
        <v>1255795</v>
      </c>
      <c r="P15" s="1211">
        <v>1255795</v>
      </c>
      <c r="Q15" s="1211">
        <f>'8'!F197</f>
        <v>880000</v>
      </c>
      <c r="R15" s="1211">
        <f>SUM(P15:Q15)</f>
        <v>2135795</v>
      </c>
      <c r="S15" s="1211">
        <f>'8'!H197</f>
        <v>0</v>
      </c>
      <c r="T15" s="1211">
        <f>SUM(R15:S15)</f>
        <v>2135795</v>
      </c>
      <c r="U15" s="1211">
        <f>'8'!J197</f>
        <v>0</v>
      </c>
      <c r="V15" s="1211">
        <f>SUM(T15:U15)</f>
        <v>2135795</v>
      </c>
      <c r="W15" s="1554">
        <f t="shared" si="2"/>
        <v>-1218029</v>
      </c>
    </row>
    <row r="16" spans="1:23" s="35" customFormat="1" ht="22.9" customHeight="1" x14ac:dyDescent="0.2">
      <c r="A16" s="477" t="s">
        <v>52</v>
      </c>
      <c r="B16" s="1210">
        <f>'4'!C168+'5'!C157+'6'!C26</f>
        <v>110200</v>
      </c>
      <c r="C16" s="1209"/>
      <c r="D16" s="1210">
        <f>'4'!D168+'5'!D157+'6'!D26</f>
        <v>72706</v>
      </c>
      <c r="E16" s="1210">
        <f>'4'!G168+'5'!E157+'6'!E26</f>
        <v>182906</v>
      </c>
      <c r="F16" s="1210">
        <v>0</v>
      </c>
      <c r="G16" s="1210">
        <f>'4'!G168+'5'!G157+'6'!G26</f>
        <v>182906</v>
      </c>
      <c r="H16" s="1210">
        <v>0</v>
      </c>
      <c r="I16" s="1210">
        <f>'4'!I168+'5'!I157+'6'!I26</f>
        <v>182906</v>
      </c>
      <c r="J16" s="1537"/>
      <c r="K16" s="1210">
        <f>'4'!K168+'5'!K157+'6'!K26</f>
        <v>182906</v>
      </c>
      <c r="L16" s="474"/>
      <c r="M16" s="1211"/>
      <c r="N16" s="1211"/>
      <c r="O16" s="1211"/>
      <c r="P16" s="1211"/>
      <c r="Q16" s="1214"/>
      <c r="R16" s="1214"/>
      <c r="S16" s="1214"/>
      <c r="T16" s="1214"/>
      <c r="U16" s="1214"/>
      <c r="V16" s="1214"/>
      <c r="W16" s="1554">
        <f t="shared" si="2"/>
        <v>182906</v>
      </c>
    </row>
    <row r="17" spans="1:23" s="33" customFormat="1" ht="22.9" customHeight="1" x14ac:dyDescent="0.2">
      <c r="A17" s="477" t="s">
        <v>56</v>
      </c>
      <c r="B17" s="1210">
        <f>'5'!C158+'6'!C27</f>
        <v>687000</v>
      </c>
      <c r="C17" s="1207"/>
      <c r="D17" s="1210">
        <f>'5'!D158+'6'!D27</f>
        <v>47860</v>
      </c>
      <c r="E17" s="1210">
        <f>'5'!E158+'6'!E27</f>
        <v>734860</v>
      </c>
      <c r="F17" s="1210">
        <f>'5'!F158+'6'!F27</f>
        <v>0</v>
      </c>
      <c r="G17" s="1210">
        <f>'5'!G158+'6'!G27</f>
        <v>734860</v>
      </c>
      <c r="H17" s="1210">
        <f>'5'!H158+'6'!H27</f>
        <v>0</v>
      </c>
      <c r="I17" s="1210">
        <f>'5'!I158+'6'!I27</f>
        <v>734860</v>
      </c>
      <c r="J17" s="1210">
        <f>'5'!J158+'6'!J27</f>
        <v>0</v>
      </c>
      <c r="K17" s="1210">
        <f>'5'!K158+'6'!K27</f>
        <v>734860</v>
      </c>
      <c r="L17" s="1235"/>
      <c r="M17" s="1205"/>
      <c r="N17" s="1205"/>
      <c r="O17" s="1205"/>
      <c r="P17" s="1205"/>
      <c r="Q17" s="1215"/>
      <c r="R17" s="1215"/>
      <c r="S17" s="1215"/>
      <c r="T17" s="1215"/>
      <c r="U17" s="1215"/>
      <c r="V17" s="1215"/>
      <c r="W17" s="1554">
        <f t="shared" si="2"/>
        <v>734860</v>
      </c>
    </row>
    <row r="18" spans="1:23" s="37" customFormat="1" ht="57" customHeight="1" x14ac:dyDescent="0.2">
      <c r="A18" s="478" t="s">
        <v>141</v>
      </c>
      <c r="B18" s="470">
        <f t="shared" ref="B18:K18" si="9">B14+B15</f>
        <v>3929822</v>
      </c>
      <c r="C18" s="470">
        <f t="shared" si="9"/>
        <v>0</v>
      </c>
      <c r="D18" s="470" t="e">
        <f t="shared" si="9"/>
        <v>#REF!</v>
      </c>
      <c r="E18" s="470">
        <f t="shared" si="9"/>
        <v>4799060</v>
      </c>
      <c r="F18" s="470">
        <f t="shared" si="9"/>
        <v>123992</v>
      </c>
      <c r="G18" s="470">
        <f t="shared" si="9"/>
        <v>4922997</v>
      </c>
      <c r="H18" s="470">
        <f t="shared" si="9"/>
        <v>53090</v>
      </c>
      <c r="I18" s="470">
        <f t="shared" si="9"/>
        <v>4976087</v>
      </c>
      <c r="J18" s="470">
        <f t="shared" si="9"/>
        <v>274717</v>
      </c>
      <c r="K18" s="470">
        <f t="shared" si="9"/>
        <v>5250804</v>
      </c>
      <c r="L18" s="478" t="s">
        <v>142</v>
      </c>
      <c r="M18" s="470">
        <f t="shared" ref="M18:V18" si="10">M14+M15</f>
        <v>4549167</v>
      </c>
      <c r="N18" s="470">
        <f t="shared" si="10"/>
        <v>0</v>
      </c>
      <c r="O18" s="470">
        <f t="shared" si="10"/>
        <v>1562973</v>
      </c>
      <c r="P18" s="470">
        <f t="shared" si="10"/>
        <v>6214646</v>
      </c>
      <c r="Q18" s="470">
        <f t="shared" si="10"/>
        <v>1009355</v>
      </c>
      <c r="R18" s="470">
        <f t="shared" si="10"/>
        <v>7218583</v>
      </c>
      <c r="S18" s="470">
        <f t="shared" si="10"/>
        <v>51590</v>
      </c>
      <c r="T18" s="470">
        <f t="shared" si="10"/>
        <v>7270173</v>
      </c>
      <c r="U18" s="470">
        <f t="shared" si="10"/>
        <v>274717</v>
      </c>
      <c r="V18" s="470">
        <f t="shared" si="10"/>
        <v>7544890</v>
      </c>
      <c r="W18" s="1212">
        <f t="shared" si="2"/>
        <v>-2294086</v>
      </c>
    </row>
    <row r="19" spans="1:23" s="38" customFormat="1" ht="35.450000000000003" customHeight="1" x14ac:dyDescent="0.2">
      <c r="A19" s="480" t="s">
        <v>222</v>
      </c>
      <c r="B19" s="1211">
        <f>B20+B21</f>
        <v>619345</v>
      </c>
      <c r="C19" s="1209"/>
      <c r="D19" s="1211">
        <f t="shared" ref="D19:K19" si="11">D20+D21</f>
        <v>0</v>
      </c>
      <c r="E19" s="1211">
        <f t="shared" si="11"/>
        <v>1414086</v>
      </c>
      <c r="F19" s="1211">
        <f t="shared" si="11"/>
        <v>880000</v>
      </c>
      <c r="G19" s="1211">
        <f t="shared" si="11"/>
        <v>2294086</v>
      </c>
      <c r="H19" s="1211">
        <f t="shared" si="11"/>
        <v>0</v>
      </c>
      <c r="I19" s="1211">
        <f t="shared" si="11"/>
        <v>2294086</v>
      </c>
      <c r="J19" s="1211">
        <f t="shared" si="11"/>
        <v>0</v>
      </c>
      <c r="K19" s="1211">
        <f t="shared" si="11"/>
        <v>2294086</v>
      </c>
      <c r="L19" s="480"/>
      <c r="M19" s="1211">
        <v>0</v>
      </c>
      <c r="N19" s="1211">
        <f>N21+N20</f>
        <v>0</v>
      </c>
      <c r="O19" s="1211">
        <f>O21+O20</f>
        <v>0</v>
      </c>
      <c r="P19" s="1211">
        <f>P21+P20</f>
        <v>0</v>
      </c>
      <c r="Q19" s="1211">
        <f>Q21+Q20</f>
        <v>0</v>
      </c>
      <c r="R19" s="1211">
        <f>R21+R20</f>
        <v>0</v>
      </c>
      <c r="S19" s="1214"/>
      <c r="T19" s="1214"/>
      <c r="U19" s="1214"/>
      <c r="V19" s="1214"/>
      <c r="W19" s="1554">
        <f t="shared" si="2"/>
        <v>2294086</v>
      </c>
    </row>
    <row r="20" spans="1:23" s="33" customFormat="1" ht="22.9" customHeight="1" x14ac:dyDescent="0.2">
      <c r="A20" s="482" t="s">
        <v>482</v>
      </c>
      <c r="B20" s="1210">
        <f>'5'!C155</f>
        <v>489345</v>
      </c>
      <c r="C20" s="1207"/>
      <c r="D20" s="1210">
        <f>'5'!D155</f>
        <v>0</v>
      </c>
      <c r="E20" s="1210">
        <f>'5'!E155</f>
        <v>1284086</v>
      </c>
      <c r="F20" s="1210">
        <f>'5'!F155</f>
        <v>880000</v>
      </c>
      <c r="G20" s="1210">
        <f>'5'!G155</f>
        <v>2164086</v>
      </c>
      <c r="H20" s="1210">
        <f>'5'!H155</f>
        <v>0</v>
      </c>
      <c r="I20" s="1210">
        <f>'5'!I155</f>
        <v>2164086</v>
      </c>
      <c r="J20" s="1210">
        <f>'5'!J155</f>
        <v>0</v>
      </c>
      <c r="K20" s="1210">
        <f>'5'!K155</f>
        <v>2164086</v>
      </c>
      <c r="L20" s="1235"/>
      <c r="M20" s="1205">
        <v>0</v>
      </c>
      <c r="N20" s="1205">
        <v>0</v>
      </c>
      <c r="O20" s="1205">
        <v>0</v>
      </c>
      <c r="P20" s="1205">
        <v>0</v>
      </c>
      <c r="Q20" s="1215"/>
      <c r="R20" s="1215"/>
      <c r="S20" s="1215"/>
      <c r="T20" s="1215"/>
      <c r="U20" s="1215"/>
      <c r="V20" s="1215"/>
      <c r="W20" s="1554">
        <f t="shared" si="2"/>
        <v>2164086</v>
      </c>
    </row>
    <row r="21" spans="1:23" s="33" customFormat="1" ht="22.9" customHeight="1" thickBot="1" x14ac:dyDescent="0.25">
      <c r="A21" s="1224" t="s">
        <v>172</v>
      </c>
      <c r="B21" s="1225">
        <f>'5'!C154</f>
        <v>130000</v>
      </c>
      <c r="C21" s="1226"/>
      <c r="D21" s="1225">
        <f>'5'!D154</f>
        <v>0</v>
      </c>
      <c r="E21" s="1225">
        <f>'5'!E154</f>
        <v>130000</v>
      </c>
      <c r="F21" s="1225">
        <f>'5'!F154</f>
        <v>0</v>
      </c>
      <c r="G21" s="1225">
        <f>'5'!G154</f>
        <v>130000</v>
      </c>
      <c r="H21" s="1225">
        <f>'5'!H154</f>
        <v>0</v>
      </c>
      <c r="I21" s="1225">
        <f>'5'!I154</f>
        <v>130000</v>
      </c>
      <c r="J21" s="1225">
        <f>'5'!J154</f>
        <v>0</v>
      </c>
      <c r="K21" s="1225">
        <f>'5'!K154</f>
        <v>130000</v>
      </c>
      <c r="L21" s="1236"/>
      <c r="M21" s="1227">
        <v>0</v>
      </c>
      <c r="N21" s="1227">
        <v>0</v>
      </c>
      <c r="O21" s="1227">
        <v>0</v>
      </c>
      <c r="P21" s="1227">
        <v>0</v>
      </c>
      <c r="Q21" s="1228"/>
      <c r="R21" s="1228"/>
      <c r="S21" s="1228"/>
      <c r="T21" s="1228"/>
      <c r="U21" s="1228"/>
      <c r="V21" s="1228"/>
      <c r="W21" s="1554">
        <f t="shared" si="2"/>
        <v>130000</v>
      </c>
    </row>
    <row r="22" spans="1:23" s="33" customFormat="1" ht="40.9" customHeight="1" thickBot="1" x14ac:dyDescent="0.25">
      <c r="A22" s="1229" t="s">
        <v>59</v>
      </c>
      <c r="B22" s="1231">
        <f t="shared" ref="B22:K22" si="12">B18+B19</f>
        <v>4549167</v>
      </c>
      <c r="C22" s="1230">
        <f t="shared" si="12"/>
        <v>0</v>
      </c>
      <c r="D22" s="1230" t="e">
        <f t="shared" si="12"/>
        <v>#REF!</v>
      </c>
      <c r="E22" s="1230">
        <f t="shared" si="12"/>
        <v>6213146</v>
      </c>
      <c r="F22" s="1230">
        <f t="shared" si="12"/>
        <v>1003992</v>
      </c>
      <c r="G22" s="1230">
        <f t="shared" si="12"/>
        <v>7217083</v>
      </c>
      <c r="H22" s="1230">
        <f t="shared" si="12"/>
        <v>53090</v>
      </c>
      <c r="I22" s="1230">
        <f t="shared" si="12"/>
        <v>7270173</v>
      </c>
      <c r="J22" s="1230">
        <f t="shared" si="12"/>
        <v>274717</v>
      </c>
      <c r="K22" s="1230">
        <f t="shared" si="12"/>
        <v>7544890</v>
      </c>
      <c r="L22" s="1229" t="s">
        <v>60</v>
      </c>
      <c r="M22" s="1230">
        <f t="shared" ref="M22:V22" si="13">M18+M19</f>
        <v>4549167</v>
      </c>
      <c r="N22" s="1230">
        <f t="shared" si="13"/>
        <v>0</v>
      </c>
      <c r="O22" s="1230">
        <f t="shared" si="13"/>
        <v>1562973</v>
      </c>
      <c r="P22" s="1230">
        <f t="shared" si="13"/>
        <v>6214646</v>
      </c>
      <c r="Q22" s="1230">
        <f t="shared" si="13"/>
        <v>1009355</v>
      </c>
      <c r="R22" s="1230">
        <f t="shared" si="13"/>
        <v>7218583</v>
      </c>
      <c r="S22" s="1230">
        <f t="shared" si="13"/>
        <v>51590</v>
      </c>
      <c r="T22" s="1230">
        <f t="shared" si="13"/>
        <v>7270173</v>
      </c>
      <c r="U22" s="1230">
        <f t="shared" si="13"/>
        <v>274717</v>
      </c>
      <c r="V22" s="1230">
        <f t="shared" si="13"/>
        <v>7544890</v>
      </c>
      <c r="W22" s="1212">
        <f t="shared" si="2"/>
        <v>0</v>
      </c>
    </row>
    <row r="23" spans="1:23" s="40" customFormat="1" ht="66.75" customHeight="1" thickBot="1" x14ac:dyDescent="0.35">
      <c r="A23" s="1233" t="s">
        <v>130</v>
      </c>
      <c r="B23" s="1232">
        <f>B14-M14</f>
        <v>-1416545</v>
      </c>
      <c r="C23" s="1232">
        <f>F14-N14</f>
        <v>123992</v>
      </c>
      <c r="D23" s="1232">
        <f>G14-O14</f>
        <v>3698053</v>
      </c>
      <c r="E23" s="1232">
        <f>E14-P14</f>
        <v>-1077557</v>
      </c>
      <c r="F23" s="1223">
        <f>F14-Q14</f>
        <v>-5363</v>
      </c>
      <c r="G23" s="1223">
        <f>G14-R14</f>
        <v>-1077557</v>
      </c>
      <c r="H23" s="1223">
        <f>H14-S14</f>
        <v>1500</v>
      </c>
      <c r="I23" s="1223">
        <f>I14-T14</f>
        <v>-1076057</v>
      </c>
      <c r="J23" s="1538"/>
      <c r="K23" s="1538"/>
      <c r="L23" s="485"/>
      <c r="M23" s="487"/>
      <c r="N23" s="487"/>
      <c r="O23" s="487"/>
      <c r="P23" s="487"/>
      <c r="Q23" s="487"/>
      <c r="R23" s="487"/>
      <c r="S23" s="487"/>
      <c r="T23" s="487"/>
      <c r="U23" s="487"/>
      <c r="V23" s="487"/>
      <c r="W23" s="488"/>
    </row>
    <row r="24" spans="1:23" ht="28.5" customHeight="1" x14ac:dyDescent="0.25">
      <c r="A24" s="41"/>
      <c r="L24" s="43"/>
      <c r="M24" s="65" t="s">
        <v>99</v>
      </c>
      <c r="P24" s="44"/>
      <c r="Q24" s="44"/>
      <c r="R24" s="44"/>
      <c r="S24" s="44"/>
      <c r="T24" s="44"/>
      <c r="U24" s="44"/>
      <c r="V24" s="44"/>
    </row>
    <row r="25" spans="1:23" ht="28.5" customHeight="1" x14ac:dyDescent="0.25">
      <c r="B25" s="42" t="s">
        <v>99</v>
      </c>
      <c r="L25" s="65" t="e">
        <f>O22-D22</f>
        <v>#REF!</v>
      </c>
      <c r="M25" s="32" t="s">
        <v>99</v>
      </c>
    </row>
    <row r="26" spans="1:23" ht="28.5" customHeight="1" x14ac:dyDescent="0.25">
      <c r="J26" s="42">
        <f>J22-U22</f>
        <v>0</v>
      </c>
      <c r="L26" s="65" t="s">
        <v>99</v>
      </c>
    </row>
    <row r="27" spans="1:23" ht="28.5" customHeight="1" x14ac:dyDescent="0.25">
      <c r="B27" s="32"/>
      <c r="C27" s="32"/>
      <c r="D27" s="32"/>
      <c r="E27" s="32"/>
      <c r="F27" s="32"/>
      <c r="G27" s="32"/>
      <c r="H27" s="32"/>
      <c r="I27" s="32"/>
      <c r="J27" s="32"/>
      <c r="K27" s="32"/>
    </row>
    <row r="28" spans="1:23" ht="28.5" customHeight="1" x14ac:dyDescent="0.25"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23" ht="28.5" customHeight="1" x14ac:dyDescent="0.25">
      <c r="B29" s="32"/>
      <c r="C29" s="32"/>
      <c r="D29" s="32"/>
      <c r="E29" s="32"/>
      <c r="F29" s="32"/>
      <c r="G29" s="32"/>
      <c r="H29" s="32"/>
      <c r="I29" s="32"/>
      <c r="J29" s="32"/>
      <c r="K29" s="32"/>
    </row>
    <row r="33" spans="1:11" ht="28.5" customHeight="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</row>
    <row r="34" spans="1:11" ht="28.5" customHeight="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</row>
    <row r="35" spans="1:11" ht="28.5" customHeight="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pans="1:11" ht="28.5" customHeight="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8" spans="1:11" ht="28.5" customHeight="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</sheetData>
  <mergeCells count="1">
    <mergeCell ref="A1:W1"/>
  </mergeCells>
  <phoneticPr fontId="0" type="noConversion"/>
  <printOptions horizontalCentered="1"/>
  <pageMargins left="0.39370078740157483" right="0.39370078740157483" top="0.98425196850393704" bottom="0.39370078740157483" header="0.31496062992125984" footer="0.31496062992125984"/>
  <pageSetup paperSize="9" scale="53" orientation="landscape" r:id="rId1"/>
  <headerFooter alignWithMargins="0">
    <oddHeader>&amp;L&amp;"Arial,Dőlt"&amp;11 &amp;U2. melléklet a 3/2014. (II.15.) önkormányzati rendelethez</oddHeader>
    <oddFooter>&amp;C&amp;11 Nagykőrös Város Önkormányzat 2014. évi költségvetési rendeletének V. sz. módosítása</oddFooter>
  </headerFooter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30"/>
  <sheetViews>
    <sheetView view="pageBreakPreview" zoomScale="70" zoomScaleNormal="100" zoomScaleSheetLayoutView="70" workbookViewId="0">
      <selection activeCell="O27" sqref="O27"/>
    </sheetView>
  </sheetViews>
  <sheetFormatPr defaultColWidth="9.140625" defaultRowHeight="15" x14ac:dyDescent="0.25"/>
  <cols>
    <col min="1" max="1" width="33.7109375" style="341" customWidth="1"/>
    <col min="2" max="2" width="12.7109375" style="64" customWidth="1"/>
    <col min="3" max="8" width="11.7109375" style="64" customWidth="1"/>
    <col min="9" max="9" width="12.7109375" style="64" bestFit="1" customWidth="1"/>
    <col min="10" max="14" width="11.7109375" style="64" customWidth="1"/>
    <col min="15" max="15" width="12.7109375" style="64" customWidth="1"/>
    <col min="16" max="16" width="11.5703125" style="64" customWidth="1"/>
    <col min="17" max="16384" width="9.140625" style="64"/>
  </cols>
  <sheetData>
    <row r="1" spans="1:16" ht="15.75" x14ac:dyDescent="0.25">
      <c r="A1" s="1817" t="s">
        <v>576</v>
      </c>
      <c r="B1" s="1817"/>
      <c r="C1" s="1817"/>
      <c r="D1" s="1817"/>
      <c r="E1" s="1817"/>
      <c r="F1" s="1817"/>
      <c r="G1" s="1817"/>
      <c r="H1" s="1817"/>
      <c r="I1" s="1817"/>
      <c r="J1" s="1817"/>
      <c r="K1" s="1817"/>
      <c r="L1" s="1817"/>
      <c r="M1" s="1817"/>
      <c r="N1" s="1817"/>
      <c r="O1" s="1817"/>
    </row>
    <row r="2" spans="1:16" ht="6" customHeight="1" thickBot="1" x14ac:dyDescent="0.3"/>
    <row r="3" spans="1:16" s="338" customFormat="1" ht="29.25" customHeight="1" thickBot="1" x14ac:dyDescent="0.25">
      <c r="A3" s="342"/>
      <c r="B3" s="339" t="s">
        <v>204</v>
      </c>
      <c r="C3" s="339" t="s">
        <v>205</v>
      </c>
      <c r="D3" s="339" t="s">
        <v>206</v>
      </c>
      <c r="E3" s="339" t="s">
        <v>207</v>
      </c>
      <c r="F3" s="339" t="s">
        <v>208</v>
      </c>
      <c r="G3" s="339" t="s">
        <v>209</v>
      </c>
      <c r="H3" s="339" t="s">
        <v>210</v>
      </c>
      <c r="I3" s="339" t="s">
        <v>211</v>
      </c>
      <c r="J3" s="339" t="s">
        <v>212</v>
      </c>
      <c r="K3" s="339" t="s">
        <v>213</v>
      </c>
      <c r="L3" s="339" t="s">
        <v>214</v>
      </c>
      <c r="M3" s="339" t="s">
        <v>215</v>
      </c>
      <c r="N3" s="339" t="s">
        <v>216</v>
      </c>
      <c r="O3" s="340" t="s">
        <v>487</v>
      </c>
    </row>
    <row r="4" spans="1:16" s="442" customFormat="1" ht="27" customHeight="1" x14ac:dyDescent="0.3">
      <c r="A4" s="1811" t="s">
        <v>217</v>
      </c>
      <c r="B4" s="1812"/>
      <c r="C4" s="1812"/>
      <c r="D4" s="1812"/>
      <c r="E4" s="1812"/>
      <c r="F4" s="1812"/>
      <c r="G4" s="1812"/>
      <c r="H4" s="1812"/>
      <c r="I4" s="1812"/>
      <c r="J4" s="1812"/>
      <c r="K4" s="1812"/>
      <c r="L4" s="1812"/>
      <c r="M4" s="1812"/>
      <c r="N4" s="1812"/>
      <c r="O4" s="1813"/>
    </row>
    <row r="5" spans="1:16" s="442" customFormat="1" ht="36" customHeight="1" x14ac:dyDescent="0.3">
      <c r="A5" s="460" t="s">
        <v>373</v>
      </c>
      <c r="B5" s="446">
        <f>'2'!B5</f>
        <v>1299158</v>
      </c>
      <c r="C5" s="447">
        <f>$B5/14</f>
        <v>92797</v>
      </c>
      <c r="D5" s="447">
        <f t="shared" ref="D5:N5" si="0">$B5/14</f>
        <v>92797</v>
      </c>
      <c r="E5" s="447">
        <f>$B5/14*2</f>
        <v>185594</v>
      </c>
      <c r="F5" s="447">
        <f t="shared" si="0"/>
        <v>92797</v>
      </c>
      <c r="G5" s="447">
        <f t="shared" si="0"/>
        <v>92797</v>
      </c>
      <c r="H5" s="447">
        <f t="shared" si="0"/>
        <v>92797</v>
      </c>
      <c r="I5" s="447">
        <f>$B5/14+'2'!D5</f>
        <v>164284</v>
      </c>
      <c r="J5" s="447">
        <f t="shared" si="0"/>
        <v>92797</v>
      </c>
      <c r="K5" s="447">
        <f>$B5/14*2</f>
        <v>185594</v>
      </c>
      <c r="L5" s="447">
        <f t="shared" si="0"/>
        <v>92797</v>
      </c>
      <c r="M5" s="447">
        <f t="shared" si="0"/>
        <v>92797</v>
      </c>
      <c r="N5" s="447">
        <f t="shared" si="0"/>
        <v>92797</v>
      </c>
      <c r="O5" s="448">
        <f t="shared" ref="O5:O15" si="1">SUM(C5:N5)</f>
        <v>1370645</v>
      </c>
      <c r="P5" s="443">
        <f>B5-O5</f>
        <v>-71487</v>
      </c>
    </row>
    <row r="6" spans="1:16" s="442" customFormat="1" ht="25.15" customHeight="1" x14ac:dyDescent="0.3">
      <c r="A6" s="460" t="s">
        <v>383</v>
      </c>
      <c r="B6" s="446">
        <f>'2'!B6</f>
        <v>866650</v>
      </c>
      <c r="C6" s="447">
        <f>$B6/13*2</f>
        <v>133330.76923076922</v>
      </c>
      <c r="D6" s="447">
        <f t="shared" ref="D6:N7" si="2">$B6/13</f>
        <v>66665.38461538461</v>
      </c>
      <c r="E6" s="447">
        <f t="shared" si="2"/>
        <v>66665.38461538461</v>
      </c>
      <c r="F6" s="447">
        <f t="shared" si="2"/>
        <v>66665.38461538461</v>
      </c>
      <c r="G6" s="447">
        <f t="shared" si="2"/>
        <v>66665.38461538461</v>
      </c>
      <c r="H6" s="447">
        <f t="shared" si="2"/>
        <v>66665.38461538461</v>
      </c>
      <c r="I6" s="447">
        <f>$B6/13+'2'!D6</f>
        <v>67465.38461538461</v>
      </c>
      <c r="J6" s="447">
        <f t="shared" si="2"/>
        <v>66665.38461538461</v>
      </c>
      <c r="K6" s="447">
        <f t="shared" si="2"/>
        <v>66665.38461538461</v>
      </c>
      <c r="L6" s="447">
        <f t="shared" si="2"/>
        <v>66665.38461538461</v>
      </c>
      <c r="M6" s="447">
        <f t="shared" si="2"/>
        <v>66665.38461538461</v>
      </c>
      <c r="N6" s="447">
        <f t="shared" si="2"/>
        <v>66665.38461538461</v>
      </c>
      <c r="O6" s="448">
        <f t="shared" si="1"/>
        <v>867450</v>
      </c>
      <c r="P6" s="443">
        <f t="shared" ref="P6:P15" si="3">B6-O6</f>
        <v>-800</v>
      </c>
    </row>
    <row r="7" spans="1:16" s="442" customFormat="1" ht="24" customHeight="1" x14ac:dyDescent="0.3">
      <c r="A7" s="460" t="s">
        <v>48</v>
      </c>
      <c r="B7" s="446">
        <f>'2'!B7</f>
        <v>511758</v>
      </c>
      <c r="C7" s="447">
        <f>$B7/13*2</f>
        <v>78732</v>
      </c>
      <c r="D7" s="447">
        <f t="shared" si="2"/>
        <v>39366</v>
      </c>
      <c r="E7" s="447">
        <f t="shared" si="2"/>
        <v>39366</v>
      </c>
      <c r="F7" s="447">
        <f t="shared" si="2"/>
        <v>39366</v>
      </c>
      <c r="G7" s="447">
        <f t="shared" si="2"/>
        <v>39366</v>
      </c>
      <c r="H7" s="447">
        <f t="shared" si="2"/>
        <v>39366</v>
      </c>
      <c r="I7" s="447" t="e">
        <f>$B7/13+'2'!D7</f>
        <v>#REF!</v>
      </c>
      <c r="J7" s="447">
        <f t="shared" si="2"/>
        <v>39366</v>
      </c>
      <c r="K7" s="447">
        <f t="shared" si="2"/>
        <v>39366</v>
      </c>
      <c r="L7" s="447">
        <f t="shared" si="2"/>
        <v>39366</v>
      </c>
      <c r="M7" s="447">
        <f t="shared" si="2"/>
        <v>39366</v>
      </c>
      <c r="N7" s="447">
        <f t="shared" si="2"/>
        <v>39366</v>
      </c>
      <c r="O7" s="448" t="e">
        <f t="shared" si="1"/>
        <v>#REF!</v>
      </c>
      <c r="P7" s="443" t="e">
        <f t="shared" si="3"/>
        <v>#REF!</v>
      </c>
    </row>
    <row r="8" spans="1:16" s="442" customFormat="1" ht="32.25" customHeight="1" x14ac:dyDescent="0.3">
      <c r="A8" s="460" t="s">
        <v>385</v>
      </c>
      <c r="B8" s="446">
        <f>'2'!B8</f>
        <v>600</v>
      </c>
      <c r="C8" s="447">
        <v>0</v>
      </c>
      <c r="D8" s="447">
        <v>0</v>
      </c>
      <c r="E8" s="447">
        <f>$B$8/4</f>
        <v>150</v>
      </c>
      <c r="F8" s="447">
        <v>0</v>
      </c>
      <c r="G8" s="447">
        <v>0</v>
      </c>
      <c r="H8" s="447">
        <f>$B$8/4</f>
        <v>150</v>
      </c>
      <c r="I8" s="447">
        <f>'2'!D8</f>
        <v>5920</v>
      </c>
      <c r="J8" s="447">
        <v>0</v>
      </c>
      <c r="K8" s="447">
        <f>$B$8/4</f>
        <v>150</v>
      </c>
      <c r="L8" s="447">
        <v>0</v>
      </c>
      <c r="M8" s="447">
        <v>0</v>
      </c>
      <c r="N8" s="447">
        <f>$B$8/4</f>
        <v>150</v>
      </c>
      <c r="O8" s="448">
        <f t="shared" si="1"/>
        <v>6520</v>
      </c>
      <c r="P8" s="443">
        <f t="shared" si="3"/>
        <v>-5920</v>
      </c>
    </row>
    <row r="9" spans="1:16" s="442" customFormat="1" ht="33" customHeight="1" x14ac:dyDescent="0.3">
      <c r="A9" s="460" t="s">
        <v>374</v>
      </c>
      <c r="B9" s="446">
        <f>'2'!B11</f>
        <v>417106</v>
      </c>
      <c r="C9" s="447">
        <v>0</v>
      </c>
      <c r="D9" s="447">
        <v>0</v>
      </c>
      <c r="E9" s="447">
        <f>$B9/10</f>
        <v>41710.6</v>
      </c>
      <c r="F9" s="447">
        <f t="shared" ref="F9:N9" si="4">$B9/10</f>
        <v>41710.6</v>
      </c>
      <c r="G9" s="447">
        <f t="shared" si="4"/>
        <v>41710.6</v>
      </c>
      <c r="H9" s="447">
        <f t="shared" si="4"/>
        <v>41710.6</v>
      </c>
      <c r="I9" s="447">
        <f>$B9/10+'2'!D11</f>
        <v>502764.6</v>
      </c>
      <c r="J9" s="447">
        <f t="shared" si="4"/>
        <v>41710.6</v>
      </c>
      <c r="K9" s="447">
        <f t="shared" si="4"/>
        <v>41710.6</v>
      </c>
      <c r="L9" s="447">
        <f t="shared" si="4"/>
        <v>41710.6</v>
      </c>
      <c r="M9" s="447">
        <f t="shared" si="4"/>
        <v>41710.6</v>
      </c>
      <c r="N9" s="447">
        <f t="shared" si="4"/>
        <v>41710.6</v>
      </c>
      <c r="O9" s="448">
        <f t="shared" si="1"/>
        <v>878159.99999999988</v>
      </c>
      <c r="P9" s="443">
        <f t="shared" si="3"/>
        <v>-461053.99999999988</v>
      </c>
    </row>
    <row r="10" spans="1:16" s="442" customFormat="1" ht="25.15" customHeight="1" x14ac:dyDescent="0.3">
      <c r="A10" s="460" t="s">
        <v>384</v>
      </c>
      <c r="B10" s="446">
        <f>'2'!B12</f>
        <v>0</v>
      </c>
      <c r="C10" s="447"/>
      <c r="D10" s="447"/>
      <c r="E10" s="447">
        <v>0</v>
      </c>
      <c r="F10" s="447"/>
      <c r="G10" s="447"/>
      <c r="H10" s="447">
        <f>$B$10/3</f>
        <v>0</v>
      </c>
      <c r="I10" s="447">
        <f>'2'!D12</f>
        <v>167</v>
      </c>
      <c r="J10" s="447"/>
      <c r="K10" s="447">
        <f>$B$10/3</f>
        <v>0</v>
      </c>
      <c r="L10" s="447"/>
      <c r="M10" s="447"/>
      <c r="N10" s="447">
        <f>$B$10/3</f>
        <v>0</v>
      </c>
      <c r="O10" s="448">
        <f t="shared" si="1"/>
        <v>167</v>
      </c>
      <c r="P10" s="443">
        <f t="shared" si="3"/>
        <v>-167</v>
      </c>
    </row>
    <row r="11" spans="1:16" s="442" customFormat="1" ht="33" customHeight="1" x14ac:dyDescent="0.3">
      <c r="A11" s="460" t="s">
        <v>386</v>
      </c>
      <c r="B11" s="446">
        <f>'2'!B13</f>
        <v>37350</v>
      </c>
      <c r="C11" s="447">
        <v>3113</v>
      </c>
      <c r="D11" s="447">
        <v>3113</v>
      </c>
      <c r="E11" s="447">
        <v>3113</v>
      </c>
      <c r="F11" s="447">
        <v>3113</v>
      </c>
      <c r="G11" s="447">
        <v>3113</v>
      </c>
      <c r="H11" s="447">
        <v>3113</v>
      </c>
      <c r="I11" s="447">
        <f>3113+'2'!D13</f>
        <v>3113</v>
      </c>
      <c r="J11" s="447">
        <v>3113</v>
      </c>
      <c r="K11" s="447">
        <v>3113</v>
      </c>
      <c r="L11" s="447">
        <v>3113</v>
      </c>
      <c r="M11" s="447">
        <v>3113</v>
      </c>
      <c r="N11" s="447">
        <v>3107</v>
      </c>
      <c r="O11" s="448">
        <f t="shared" si="1"/>
        <v>37350</v>
      </c>
      <c r="P11" s="443">
        <f t="shared" si="3"/>
        <v>0</v>
      </c>
    </row>
    <row r="12" spans="1:16" s="442" customFormat="1" ht="33" customHeight="1" x14ac:dyDescent="0.3">
      <c r="A12" s="461" t="s">
        <v>52</v>
      </c>
      <c r="B12" s="446">
        <f>'2'!B16</f>
        <v>110200</v>
      </c>
      <c r="C12" s="447">
        <v>0</v>
      </c>
      <c r="D12" s="447">
        <v>0</v>
      </c>
      <c r="E12" s="447" t="s">
        <v>99</v>
      </c>
      <c r="F12" s="447">
        <v>10000</v>
      </c>
      <c r="G12" s="447">
        <v>15000</v>
      </c>
      <c r="H12" s="447">
        <v>10000</v>
      </c>
      <c r="I12" s="447">
        <f>20000+'2'!D16</f>
        <v>92706</v>
      </c>
      <c r="J12" s="447">
        <v>10000</v>
      </c>
      <c r="K12" s="447">
        <v>10000</v>
      </c>
      <c r="L12" s="447">
        <v>10000</v>
      </c>
      <c r="M12" s="447">
        <v>10000</v>
      </c>
      <c r="N12" s="447">
        <v>15200</v>
      </c>
      <c r="O12" s="448">
        <f t="shared" si="1"/>
        <v>182906</v>
      </c>
      <c r="P12" s="443">
        <f t="shared" si="3"/>
        <v>-72706</v>
      </c>
    </row>
    <row r="13" spans="1:16" s="442" customFormat="1" ht="34.15" customHeight="1" x14ac:dyDescent="0.3">
      <c r="A13" s="461" t="s">
        <v>56</v>
      </c>
      <c r="B13" s="446">
        <f>'2'!B17</f>
        <v>687000</v>
      </c>
      <c r="C13" s="447">
        <v>0</v>
      </c>
      <c r="D13" s="447">
        <v>66000</v>
      </c>
      <c r="E13" s="447">
        <v>0</v>
      </c>
      <c r="F13" s="447">
        <v>20000</v>
      </c>
      <c r="G13" s="447">
        <v>0</v>
      </c>
      <c r="H13" s="447">
        <v>0</v>
      </c>
      <c r="I13" s="447">
        <f>60000+'2'!D17</f>
        <v>107860</v>
      </c>
      <c r="J13" s="447">
        <v>0</v>
      </c>
      <c r="K13" s="447">
        <v>254000</v>
      </c>
      <c r="L13" s="447">
        <v>220000</v>
      </c>
      <c r="M13" s="447">
        <v>67000</v>
      </c>
      <c r="N13" s="447">
        <v>0</v>
      </c>
      <c r="O13" s="448">
        <f t="shared" si="1"/>
        <v>734860</v>
      </c>
      <c r="P13" s="443">
        <f t="shared" si="3"/>
        <v>-47860</v>
      </c>
    </row>
    <row r="14" spans="1:16" s="442" customFormat="1" ht="25.15" customHeight="1" x14ac:dyDescent="0.3">
      <c r="A14" s="462" t="s">
        <v>482</v>
      </c>
      <c r="B14" s="447">
        <f>'2'!B20</f>
        <v>489345</v>
      </c>
      <c r="C14" s="447">
        <v>0</v>
      </c>
      <c r="D14" s="447">
        <v>0</v>
      </c>
      <c r="E14" s="447">
        <v>0</v>
      </c>
      <c r="F14" s="447">
        <v>0</v>
      </c>
      <c r="G14" s="447">
        <v>0</v>
      </c>
      <c r="H14" s="447">
        <v>0</v>
      </c>
      <c r="I14" s="447">
        <f>'2'!D20</f>
        <v>0</v>
      </c>
      <c r="J14" s="447">
        <v>200000</v>
      </c>
      <c r="K14" s="447">
        <v>0</v>
      </c>
      <c r="L14" s="447">
        <v>0</v>
      </c>
      <c r="M14" s="447">
        <v>150000</v>
      </c>
      <c r="N14" s="447">
        <v>139345</v>
      </c>
      <c r="O14" s="448">
        <f t="shared" si="1"/>
        <v>489345</v>
      </c>
      <c r="P14" s="443">
        <f t="shared" si="3"/>
        <v>0</v>
      </c>
    </row>
    <row r="15" spans="1:16" s="442" customFormat="1" ht="35.450000000000003" customHeight="1" thickBot="1" x14ac:dyDescent="0.35">
      <c r="A15" s="461" t="s">
        <v>172</v>
      </c>
      <c r="B15" s="447">
        <f>'2'!B21</f>
        <v>130000</v>
      </c>
      <c r="C15" s="449">
        <v>0</v>
      </c>
      <c r="D15" s="449">
        <v>0</v>
      </c>
      <c r="E15" s="449">
        <v>0</v>
      </c>
      <c r="F15" s="449">
        <v>0</v>
      </c>
      <c r="G15" s="449">
        <v>0</v>
      </c>
      <c r="H15" s="449">
        <v>0</v>
      </c>
      <c r="I15" s="449">
        <v>0</v>
      </c>
      <c r="J15" s="449">
        <v>0</v>
      </c>
      <c r="K15" s="449">
        <v>0</v>
      </c>
      <c r="L15" s="449">
        <v>130000</v>
      </c>
      <c r="M15" s="449">
        <v>0</v>
      </c>
      <c r="N15" s="449">
        <v>0</v>
      </c>
      <c r="O15" s="450">
        <f t="shared" si="1"/>
        <v>130000</v>
      </c>
      <c r="P15" s="443">
        <f t="shared" si="3"/>
        <v>0</v>
      </c>
    </row>
    <row r="16" spans="1:16" s="442" customFormat="1" ht="29.45" customHeight="1" thickBot="1" x14ac:dyDescent="0.35">
      <c r="A16" s="444" t="s">
        <v>177</v>
      </c>
      <c r="B16" s="451">
        <f>SUM(B5:B15)</f>
        <v>4549167</v>
      </c>
      <c r="C16" s="451">
        <f t="shared" ref="C16:N16" si="5">SUM(C5:C15)</f>
        <v>307972.76923076925</v>
      </c>
      <c r="D16" s="451">
        <f t="shared" si="5"/>
        <v>267941.38461538462</v>
      </c>
      <c r="E16" s="451">
        <f t="shared" si="5"/>
        <v>336598.9846153846</v>
      </c>
      <c r="F16" s="451">
        <f t="shared" si="5"/>
        <v>273651.9846153846</v>
      </c>
      <c r="G16" s="451">
        <f t="shared" si="5"/>
        <v>258651.98461538463</v>
      </c>
      <c r="H16" s="451">
        <f t="shared" si="5"/>
        <v>253801.98461538463</v>
      </c>
      <c r="I16" s="451" t="e">
        <f t="shared" si="5"/>
        <v>#REF!</v>
      </c>
      <c r="J16" s="451">
        <f t="shared" si="5"/>
        <v>453651.9846153846</v>
      </c>
      <c r="K16" s="451">
        <f t="shared" si="5"/>
        <v>600598.9846153846</v>
      </c>
      <c r="L16" s="451">
        <f t="shared" si="5"/>
        <v>603651.9846153846</v>
      </c>
      <c r="M16" s="451">
        <f t="shared" si="5"/>
        <v>470651.9846153846</v>
      </c>
      <c r="N16" s="451">
        <f t="shared" si="5"/>
        <v>398340.9846153846</v>
      </c>
      <c r="O16" s="452" t="e">
        <f>SUM(O5:O15)</f>
        <v>#REF!</v>
      </c>
    </row>
    <row r="17" spans="1:16" s="442" customFormat="1" ht="21.75" customHeight="1" x14ac:dyDescent="0.3">
      <c r="A17" s="1814" t="s">
        <v>218</v>
      </c>
      <c r="B17" s="1815"/>
      <c r="C17" s="1815"/>
      <c r="D17" s="1815"/>
      <c r="E17" s="1815"/>
      <c r="F17" s="1815"/>
      <c r="G17" s="1815"/>
      <c r="H17" s="1815"/>
      <c r="I17" s="1815"/>
      <c r="J17" s="1815"/>
      <c r="K17" s="1815"/>
      <c r="L17" s="1815"/>
      <c r="M17" s="1815"/>
      <c r="N17" s="1815"/>
      <c r="O17" s="1816"/>
    </row>
    <row r="18" spans="1:16" s="442" customFormat="1" ht="25.15" customHeight="1" x14ac:dyDescent="0.3">
      <c r="A18" s="463" t="s">
        <v>41</v>
      </c>
      <c r="B18" s="447">
        <f>'2'!M5</f>
        <v>893102</v>
      </c>
      <c r="C18" s="447">
        <f>$B18/12</f>
        <v>74425.166666666672</v>
      </c>
      <c r="D18" s="447">
        <f t="shared" ref="D18:N20" si="6">$B18/12</f>
        <v>74425.166666666672</v>
      </c>
      <c r="E18" s="447">
        <f t="shared" si="6"/>
        <v>74425.166666666672</v>
      </c>
      <c r="F18" s="447">
        <f t="shared" si="6"/>
        <v>74425.166666666672</v>
      </c>
      <c r="G18" s="447">
        <f t="shared" si="6"/>
        <v>74425.166666666672</v>
      </c>
      <c r="H18" s="447">
        <f t="shared" si="6"/>
        <v>74425.166666666672</v>
      </c>
      <c r="I18" s="447">
        <f>$B18/12+'2'!O5</f>
        <v>164078.16666666669</v>
      </c>
      <c r="J18" s="447">
        <f t="shared" si="6"/>
        <v>74425.166666666672</v>
      </c>
      <c r="K18" s="447">
        <f t="shared" si="6"/>
        <v>74425.166666666672</v>
      </c>
      <c r="L18" s="447">
        <f t="shared" si="6"/>
        <v>74425.166666666672</v>
      </c>
      <c r="M18" s="447">
        <f t="shared" si="6"/>
        <v>74425.166666666672</v>
      </c>
      <c r="N18" s="447">
        <f t="shared" si="6"/>
        <v>74425.166666666672</v>
      </c>
      <c r="O18" s="448">
        <f>SUM(C18:N18)</f>
        <v>982754.99999999988</v>
      </c>
      <c r="P18" s="443">
        <f t="shared" ref="P18:P25" si="7">B18-O18</f>
        <v>-89652.999999999884</v>
      </c>
    </row>
    <row r="19" spans="1:16" s="442" customFormat="1" ht="35.450000000000003" customHeight="1" x14ac:dyDescent="0.3">
      <c r="A19" s="463" t="s">
        <v>309</v>
      </c>
      <c r="B19" s="447">
        <f>'2'!M6</f>
        <v>256331</v>
      </c>
      <c r="C19" s="447">
        <f>$B19/12</f>
        <v>21360.916666666668</v>
      </c>
      <c r="D19" s="447">
        <f t="shared" si="6"/>
        <v>21360.916666666668</v>
      </c>
      <c r="E19" s="447">
        <f t="shared" si="6"/>
        <v>21360.916666666668</v>
      </c>
      <c r="F19" s="447">
        <f t="shared" si="6"/>
        <v>21360.916666666668</v>
      </c>
      <c r="G19" s="447">
        <f t="shared" si="6"/>
        <v>21360.916666666668</v>
      </c>
      <c r="H19" s="447">
        <f t="shared" si="6"/>
        <v>21360.916666666668</v>
      </c>
      <c r="I19" s="447">
        <f>$B19/12+'2'!O6</f>
        <v>41568.916666666672</v>
      </c>
      <c r="J19" s="447">
        <f t="shared" si="6"/>
        <v>21360.916666666668</v>
      </c>
      <c r="K19" s="447">
        <f t="shared" si="6"/>
        <v>21360.916666666668</v>
      </c>
      <c r="L19" s="447">
        <f t="shared" si="6"/>
        <v>21360.916666666668</v>
      </c>
      <c r="M19" s="447">
        <f t="shared" si="6"/>
        <v>21360.916666666668</v>
      </c>
      <c r="N19" s="447">
        <f t="shared" si="6"/>
        <v>21360.916666666668</v>
      </c>
      <c r="O19" s="448">
        <f t="shared" ref="O19:O25" si="8">SUM(C19:N19)</f>
        <v>276539</v>
      </c>
      <c r="P19" s="443">
        <f t="shared" si="7"/>
        <v>-20208</v>
      </c>
    </row>
    <row r="20" spans="1:16" s="442" customFormat="1" ht="25.15" customHeight="1" x14ac:dyDescent="0.3">
      <c r="A20" s="463" t="s">
        <v>133</v>
      </c>
      <c r="B20" s="447">
        <f>'2'!M7</f>
        <v>880050</v>
      </c>
      <c r="C20" s="447">
        <f>$B20/12</f>
        <v>73337.5</v>
      </c>
      <c r="D20" s="447">
        <f t="shared" si="6"/>
        <v>73337.5</v>
      </c>
      <c r="E20" s="447">
        <f t="shared" si="6"/>
        <v>73337.5</v>
      </c>
      <c r="F20" s="447">
        <f t="shared" si="6"/>
        <v>73337.5</v>
      </c>
      <c r="G20" s="447">
        <f t="shared" si="6"/>
        <v>73337.5</v>
      </c>
      <c r="H20" s="447">
        <f t="shared" si="6"/>
        <v>73337.5</v>
      </c>
      <c r="I20" s="447">
        <f>$B20/12+'2'!O7</f>
        <v>134006.5</v>
      </c>
      <c r="J20" s="447">
        <f t="shared" si="6"/>
        <v>73337.5</v>
      </c>
      <c r="K20" s="447">
        <f t="shared" si="6"/>
        <v>73337.5</v>
      </c>
      <c r="L20" s="447">
        <f t="shared" si="6"/>
        <v>73337.5</v>
      </c>
      <c r="M20" s="447">
        <f t="shared" si="6"/>
        <v>73337.5</v>
      </c>
      <c r="N20" s="447">
        <f t="shared" si="6"/>
        <v>73337.5</v>
      </c>
      <c r="O20" s="448">
        <f t="shared" si="8"/>
        <v>940719</v>
      </c>
      <c r="P20" s="443">
        <f t="shared" si="7"/>
        <v>-60669</v>
      </c>
    </row>
    <row r="21" spans="1:16" s="442" customFormat="1" ht="25.15" customHeight="1" x14ac:dyDescent="0.3">
      <c r="A21" s="463" t="s">
        <v>43</v>
      </c>
      <c r="B21" s="447">
        <f>'2'!M8</f>
        <v>433600</v>
      </c>
      <c r="C21" s="447">
        <v>35000</v>
      </c>
      <c r="D21" s="447">
        <v>35000</v>
      </c>
      <c r="E21" s="447">
        <v>35000</v>
      </c>
      <c r="F21" s="447">
        <v>35000</v>
      </c>
      <c r="G21" s="447">
        <v>35000</v>
      </c>
      <c r="H21" s="447">
        <v>35000</v>
      </c>
      <c r="I21" s="447">
        <f>35000+'2'!O8</f>
        <v>35000</v>
      </c>
      <c r="J21" s="447">
        <v>40000</v>
      </c>
      <c r="K21" s="447">
        <v>35000</v>
      </c>
      <c r="L21" s="447">
        <v>35000</v>
      </c>
      <c r="M21" s="447">
        <v>40000</v>
      </c>
      <c r="N21" s="447">
        <v>38600</v>
      </c>
      <c r="O21" s="448">
        <f t="shared" si="8"/>
        <v>433600</v>
      </c>
      <c r="P21" s="443">
        <f t="shared" si="7"/>
        <v>0</v>
      </c>
    </row>
    <row r="22" spans="1:16" s="442" customFormat="1" ht="25.15" customHeight="1" x14ac:dyDescent="0.3">
      <c r="A22" s="463" t="s">
        <v>368</v>
      </c>
      <c r="B22" s="447">
        <f>'2'!M9</f>
        <v>232200</v>
      </c>
      <c r="C22" s="447">
        <v>0</v>
      </c>
      <c r="D22" s="447">
        <v>0</v>
      </c>
      <c r="E22" s="447">
        <v>0</v>
      </c>
      <c r="F22" s="447">
        <v>54350</v>
      </c>
      <c r="G22" s="447"/>
      <c r="H22" s="447"/>
      <c r="I22" s="447"/>
      <c r="J22" s="447">
        <f>20000-8550</f>
        <v>11450</v>
      </c>
      <c r="K22" s="447">
        <v>30000</v>
      </c>
      <c r="L22" s="447">
        <v>26000</v>
      </c>
      <c r="M22" s="447">
        <v>25000</v>
      </c>
      <c r="N22" s="447">
        <v>16850</v>
      </c>
      <c r="O22" s="448">
        <f t="shared" si="8"/>
        <v>163650</v>
      </c>
      <c r="P22" s="443">
        <f t="shared" si="7"/>
        <v>68550</v>
      </c>
    </row>
    <row r="23" spans="1:16" s="442" customFormat="1" ht="25.15" customHeight="1" x14ac:dyDescent="0.3">
      <c r="A23" s="463" t="s">
        <v>370</v>
      </c>
      <c r="B23" s="453">
        <f>'2'!M11</f>
        <v>1733104</v>
      </c>
      <c r="C23" s="447">
        <v>0</v>
      </c>
      <c r="D23" s="447">
        <v>66000</v>
      </c>
      <c r="E23" s="447">
        <v>0</v>
      </c>
      <c r="F23" s="447">
        <v>20000</v>
      </c>
      <c r="G23" s="447">
        <v>150000</v>
      </c>
      <c r="H23" s="447">
        <v>100000</v>
      </c>
      <c r="I23" s="447">
        <f>40348+'2'!O11</f>
        <v>173731</v>
      </c>
      <c r="J23" s="447">
        <v>96000</v>
      </c>
      <c r="K23" s="447">
        <v>370000</v>
      </c>
      <c r="L23" s="447">
        <v>348390</v>
      </c>
      <c r="M23" s="447">
        <v>310000</v>
      </c>
      <c r="N23" s="447">
        <v>232366</v>
      </c>
      <c r="O23" s="448">
        <f t="shared" si="8"/>
        <v>1866487</v>
      </c>
      <c r="P23" s="443">
        <f t="shared" si="7"/>
        <v>-133383</v>
      </c>
    </row>
    <row r="24" spans="1:16" s="442" customFormat="1" ht="25.15" customHeight="1" x14ac:dyDescent="0.3">
      <c r="A24" s="463" t="s">
        <v>55</v>
      </c>
      <c r="B24" s="453">
        <f>'2'!M12</f>
        <v>93480</v>
      </c>
      <c r="C24" s="447">
        <v>0</v>
      </c>
      <c r="D24" s="447">
        <v>0</v>
      </c>
      <c r="E24" s="447">
        <v>0</v>
      </c>
      <c r="F24" s="447">
        <v>0</v>
      </c>
      <c r="G24" s="447">
        <v>10000</v>
      </c>
      <c r="H24" s="447">
        <v>0</v>
      </c>
      <c r="I24" s="447">
        <f>31700+'2'!O12</f>
        <v>115455</v>
      </c>
      <c r="J24" s="447">
        <v>0</v>
      </c>
      <c r="K24" s="447">
        <v>11780</v>
      </c>
      <c r="L24" s="447">
        <v>40000</v>
      </c>
      <c r="M24" s="447">
        <v>0</v>
      </c>
      <c r="N24" s="447">
        <v>0</v>
      </c>
      <c r="O24" s="448">
        <f t="shared" si="8"/>
        <v>177235</v>
      </c>
      <c r="P24" s="443">
        <f t="shared" si="7"/>
        <v>-83755</v>
      </c>
    </row>
    <row r="25" spans="1:16" s="442" customFormat="1" ht="25.15" customHeight="1" x14ac:dyDescent="0.3">
      <c r="A25" s="463" t="s">
        <v>371</v>
      </c>
      <c r="B25" s="453">
        <f>'2'!M13</f>
        <v>27300</v>
      </c>
      <c r="C25" s="447">
        <v>0</v>
      </c>
      <c r="D25" s="447" t="s">
        <v>99</v>
      </c>
      <c r="E25" s="447">
        <v>0</v>
      </c>
      <c r="F25" s="447">
        <v>0</v>
      </c>
      <c r="G25" s="447">
        <v>0</v>
      </c>
      <c r="H25" s="447">
        <v>0</v>
      </c>
      <c r="I25" s="454"/>
      <c r="J25" s="447">
        <f>27300+'2'!O13</f>
        <v>13860</v>
      </c>
      <c r="K25" s="447">
        <v>0</v>
      </c>
      <c r="L25" s="447">
        <v>0</v>
      </c>
      <c r="M25" s="447">
        <v>0</v>
      </c>
      <c r="N25" s="447">
        <v>0</v>
      </c>
      <c r="O25" s="448">
        <f t="shared" si="8"/>
        <v>13860</v>
      </c>
      <c r="P25" s="443">
        <f t="shared" si="7"/>
        <v>13440</v>
      </c>
    </row>
    <row r="26" spans="1:16" s="442" customFormat="1" ht="25.15" customHeight="1" thickBot="1" x14ac:dyDescent="0.35">
      <c r="A26" s="463" t="s">
        <v>139</v>
      </c>
      <c r="B26" s="455">
        <f>'2'!M15</f>
        <v>0</v>
      </c>
      <c r="C26" s="456"/>
      <c r="D26" s="456"/>
      <c r="E26" s="455"/>
      <c r="F26" s="457"/>
      <c r="G26" s="456"/>
      <c r="H26" s="456"/>
      <c r="I26" s="455">
        <f>'2'!O15</f>
        <v>1255795</v>
      </c>
      <c r="J26" s="457"/>
      <c r="K26" s="456"/>
      <c r="L26" s="456"/>
      <c r="M26" s="456"/>
      <c r="N26" s="455"/>
      <c r="O26" s="448">
        <f>SUM(C26:N26)</f>
        <v>1255795</v>
      </c>
    </row>
    <row r="27" spans="1:16" s="442" customFormat="1" ht="26.25" customHeight="1" thickBot="1" x14ac:dyDescent="0.35">
      <c r="A27" s="444" t="s">
        <v>177</v>
      </c>
      <c r="B27" s="451">
        <f>SUM(B18:B25)</f>
        <v>4549167</v>
      </c>
      <c r="C27" s="451">
        <f>SUM(C18:C26)</f>
        <v>204123.58333333334</v>
      </c>
      <c r="D27" s="451">
        <f t="shared" ref="D27:N27" si="9">SUM(D18:D26)</f>
        <v>270123.58333333337</v>
      </c>
      <c r="E27" s="451">
        <f t="shared" si="9"/>
        <v>204123.58333333334</v>
      </c>
      <c r="F27" s="451">
        <f t="shared" si="9"/>
        <v>278473.58333333337</v>
      </c>
      <c r="G27" s="451">
        <f t="shared" si="9"/>
        <v>364123.58333333337</v>
      </c>
      <c r="H27" s="451">
        <f t="shared" si="9"/>
        <v>304123.58333333337</v>
      </c>
      <c r="I27" s="451">
        <f t="shared" si="9"/>
        <v>1919634.5833333335</v>
      </c>
      <c r="J27" s="451">
        <f t="shared" si="9"/>
        <v>330433.58333333337</v>
      </c>
      <c r="K27" s="451">
        <f t="shared" si="9"/>
        <v>615903.58333333337</v>
      </c>
      <c r="L27" s="451">
        <f t="shared" si="9"/>
        <v>618513.58333333337</v>
      </c>
      <c r="M27" s="451">
        <f t="shared" si="9"/>
        <v>544123.58333333337</v>
      </c>
      <c r="N27" s="451">
        <f t="shared" si="9"/>
        <v>456939.58333333337</v>
      </c>
      <c r="O27" s="452">
        <f>SUM(C27:N27)</f>
        <v>6110640</v>
      </c>
    </row>
    <row r="28" spans="1:16" s="442" customFormat="1" ht="34.5" customHeight="1" thickBot="1" x14ac:dyDescent="0.35">
      <c r="A28" s="445" t="s">
        <v>821</v>
      </c>
      <c r="B28" s="458" t="s">
        <v>99</v>
      </c>
      <c r="C28" s="458">
        <f>C16-C27</f>
        <v>103849.18589743591</v>
      </c>
      <c r="D28" s="458">
        <f t="shared" ref="D28:N28" si="10">C28+D16-D27</f>
        <v>101666.98717948713</v>
      </c>
      <c r="E28" s="458">
        <f t="shared" si="10"/>
        <v>234142.38846153839</v>
      </c>
      <c r="F28" s="458">
        <f t="shared" si="10"/>
        <v>229320.78974358959</v>
      </c>
      <c r="G28" s="458">
        <f t="shared" si="10"/>
        <v>123849.19102564082</v>
      </c>
      <c r="H28" s="458">
        <f t="shared" si="10"/>
        <v>73527.592307692044</v>
      </c>
      <c r="I28" s="458" t="e">
        <f t="shared" si="10"/>
        <v>#REF!</v>
      </c>
      <c r="J28" s="458" t="e">
        <f t="shared" si="10"/>
        <v>#REF!</v>
      </c>
      <c r="K28" s="458" t="e">
        <f t="shared" si="10"/>
        <v>#REF!</v>
      </c>
      <c r="L28" s="458" t="e">
        <f t="shared" si="10"/>
        <v>#REF!</v>
      </c>
      <c r="M28" s="458" t="e">
        <f t="shared" si="10"/>
        <v>#REF!</v>
      </c>
      <c r="N28" s="458" t="e">
        <f t="shared" si="10"/>
        <v>#REF!</v>
      </c>
      <c r="O28" s="459" t="s">
        <v>99</v>
      </c>
    </row>
    <row r="29" spans="1:16" ht="24.75" customHeight="1" x14ac:dyDescent="0.25">
      <c r="A29" s="341" t="s">
        <v>99</v>
      </c>
      <c r="O29" s="336" t="s">
        <v>99</v>
      </c>
    </row>
    <row r="30" spans="1:16" x14ac:dyDescent="0.25">
      <c r="B30" s="336">
        <f>B27-B16</f>
        <v>0</v>
      </c>
    </row>
  </sheetData>
  <mergeCells count="3">
    <mergeCell ref="A4:O4"/>
    <mergeCell ref="A17:O17"/>
    <mergeCell ref="A1:O1"/>
  </mergeCells>
  <phoneticPr fontId="5" type="noConversion"/>
  <printOptions horizontalCentered="1"/>
  <pageMargins left="0.70866141732283472" right="0.70866141732283472" top="0.6692913385826772" bottom="0.78740157480314965" header="0.31496062992125984" footer="0.31496062992125984"/>
  <pageSetup paperSize="9" scale="66" orientation="landscape" r:id="rId1"/>
  <headerFooter alignWithMargins="0">
    <oddHeader>&amp;L&amp;"Arial,Dőlt"&amp;9&amp;U 2. sz. táblázat</oddHeader>
    <oddFooter>&amp;CNagykőrös Város Önkormányzat 2014. évi költségvetési rendeletének II. sz. módosítása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view="pageBreakPreview" zoomScale="70" zoomScaleNormal="90" zoomScaleSheetLayoutView="70" workbookViewId="0">
      <selection activeCell="A2" sqref="A2"/>
    </sheetView>
  </sheetViews>
  <sheetFormatPr defaultColWidth="28.7109375" defaultRowHeight="15" x14ac:dyDescent="0.25"/>
  <cols>
    <col min="1" max="1" width="11.85546875" style="370" customWidth="1"/>
    <col min="2" max="2" width="33.85546875" style="371" customWidth="1"/>
    <col min="3" max="3" width="45.85546875" style="371" customWidth="1"/>
    <col min="4" max="4" width="17.42578125" style="370" customWidth="1"/>
    <col min="5" max="5" width="17.42578125" style="371" customWidth="1"/>
    <col min="6" max="6" width="29.85546875" style="370" customWidth="1"/>
    <col min="7" max="7" width="21" style="372" customWidth="1"/>
    <col min="8" max="16384" width="28.7109375" style="366"/>
  </cols>
  <sheetData>
    <row r="1" spans="1:7" ht="39.6" customHeight="1" thickBot="1" x14ac:dyDescent="0.3">
      <c r="A1" s="1818" t="s">
        <v>585</v>
      </c>
      <c r="B1" s="1818"/>
      <c r="C1" s="1818"/>
      <c r="D1" s="1818"/>
      <c r="E1" s="1818"/>
      <c r="F1" s="1818"/>
      <c r="G1" s="1818"/>
    </row>
    <row r="2" spans="1:7" s="367" customFormat="1" ht="50.45" customHeight="1" thickBot="1" x14ac:dyDescent="0.3">
      <c r="A2" s="356" t="s">
        <v>811</v>
      </c>
      <c r="B2" s="140" t="s">
        <v>243</v>
      </c>
      <c r="C2" s="140" t="s">
        <v>244</v>
      </c>
      <c r="D2" s="140" t="s">
        <v>245</v>
      </c>
      <c r="E2" s="140" t="s">
        <v>246</v>
      </c>
      <c r="F2" s="140" t="s">
        <v>153</v>
      </c>
      <c r="G2" s="389" t="s">
        <v>814</v>
      </c>
    </row>
    <row r="3" spans="1:7" s="368" customFormat="1" ht="46.9" customHeight="1" x14ac:dyDescent="0.25">
      <c r="A3" s="357" t="s">
        <v>314</v>
      </c>
      <c r="B3" s="155" t="s">
        <v>40</v>
      </c>
      <c r="C3" s="155" t="s">
        <v>587</v>
      </c>
      <c r="D3" s="386">
        <v>40493</v>
      </c>
      <c r="E3" s="386">
        <v>42004</v>
      </c>
      <c r="F3" s="387" t="s">
        <v>588</v>
      </c>
      <c r="G3" s="388">
        <f>+(60885+21600)*1.27</f>
        <v>104755.95</v>
      </c>
    </row>
    <row r="4" spans="1:7" s="368" customFormat="1" ht="98.25" customHeight="1" x14ac:dyDescent="0.25">
      <c r="A4" s="347" t="s">
        <v>589</v>
      </c>
      <c r="B4" s="97" t="s">
        <v>590</v>
      </c>
      <c r="C4" s="97" t="s">
        <v>591</v>
      </c>
      <c r="D4" s="344">
        <v>40725</v>
      </c>
      <c r="E4" s="344" t="s">
        <v>247</v>
      </c>
      <c r="F4" s="346" t="s">
        <v>812</v>
      </c>
      <c r="G4" s="380">
        <f>2*(855000+723000)*1.27*12</f>
        <v>48097440</v>
      </c>
    </row>
    <row r="5" spans="1:7" s="368" customFormat="1" ht="46.9" customHeight="1" x14ac:dyDescent="0.25">
      <c r="A5" s="142" t="s">
        <v>318</v>
      </c>
      <c r="B5" s="97" t="s">
        <v>319</v>
      </c>
      <c r="C5" s="97" t="s">
        <v>155</v>
      </c>
      <c r="D5" s="348">
        <v>40909</v>
      </c>
      <c r="E5" s="348">
        <v>41912</v>
      </c>
      <c r="F5" s="346" t="s">
        <v>592</v>
      </c>
      <c r="G5" s="381">
        <f>389000*12</f>
        <v>4668000</v>
      </c>
    </row>
    <row r="6" spans="1:7" s="368" customFormat="1" ht="46.9" customHeight="1" x14ac:dyDescent="0.25">
      <c r="A6" s="347" t="s">
        <v>320</v>
      </c>
      <c r="B6" s="97" t="s">
        <v>590</v>
      </c>
      <c r="C6" s="97" t="s">
        <v>321</v>
      </c>
      <c r="D6" s="344">
        <v>40909</v>
      </c>
      <c r="E6" s="344">
        <v>44561</v>
      </c>
      <c r="F6" s="346" t="s">
        <v>322</v>
      </c>
      <c r="G6" s="380">
        <v>4500000</v>
      </c>
    </row>
    <row r="7" spans="1:7" s="368" customFormat="1" ht="46.9" customHeight="1" x14ac:dyDescent="0.25">
      <c r="A7" s="345" t="s">
        <v>593</v>
      </c>
      <c r="B7" s="97" t="s">
        <v>323</v>
      </c>
      <c r="C7" s="97" t="s">
        <v>324</v>
      </c>
      <c r="D7" s="344">
        <v>39178</v>
      </c>
      <c r="E7" s="344" t="s">
        <v>247</v>
      </c>
      <c r="F7" s="369" t="s">
        <v>594</v>
      </c>
      <c r="G7" s="380">
        <f>12*23955</f>
        <v>287460</v>
      </c>
    </row>
    <row r="8" spans="1:7" s="368" customFormat="1" ht="46.9" customHeight="1" x14ac:dyDescent="0.25">
      <c r="A8" s="347" t="s">
        <v>595</v>
      </c>
      <c r="B8" s="97" t="s">
        <v>590</v>
      </c>
      <c r="C8" s="97" t="s">
        <v>596</v>
      </c>
      <c r="D8" s="344">
        <v>41065</v>
      </c>
      <c r="E8" s="344" t="s">
        <v>247</v>
      </c>
      <c r="F8" s="346" t="s">
        <v>597</v>
      </c>
      <c r="G8" s="380">
        <v>2008000</v>
      </c>
    </row>
    <row r="9" spans="1:7" s="368" customFormat="1" ht="46.9" customHeight="1" x14ac:dyDescent="0.25">
      <c r="A9" s="347" t="s">
        <v>315</v>
      </c>
      <c r="B9" s="97" t="s">
        <v>316</v>
      </c>
      <c r="C9" s="97" t="s">
        <v>317</v>
      </c>
      <c r="D9" s="344">
        <v>41275</v>
      </c>
      <c r="E9" s="344" t="s">
        <v>247</v>
      </c>
      <c r="F9" s="346" t="s">
        <v>578</v>
      </c>
      <c r="G9" s="380">
        <f>525000*1.27*4</f>
        <v>2667000</v>
      </c>
    </row>
    <row r="10" spans="1:7" s="368" customFormat="1" ht="46.9" customHeight="1" x14ac:dyDescent="0.25">
      <c r="A10" s="347" t="s">
        <v>598</v>
      </c>
      <c r="B10" s="97" t="s">
        <v>590</v>
      </c>
      <c r="C10" s="97" t="s">
        <v>599</v>
      </c>
      <c r="D10" s="344">
        <v>41275</v>
      </c>
      <c r="E10" s="344">
        <v>42369</v>
      </c>
      <c r="F10" s="346" t="s">
        <v>600</v>
      </c>
      <c r="G10" s="380">
        <f>9870769-207024+153930</f>
        <v>9817675</v>
      </c>
    </row>
    <row r="11" spans="1:7" s="368" customFormat="1" ht="46.9" customHeight="1" x14ac:dyDescent="0.25">
      <c r="A11" s="347" t="s">
        <v>601</v>
      </c>
      <c r="B11" s="97" t="s">
        <v>602</v>
      </c>
      <c r="C11" s="97" t="s">
        <v>603</v>
      </c>
      <c r="D11" s="344">
        <v>41334</v>
      </c>
      <c r="E11" s="344" t="s">
        <v>247</v>
      </c>
      <c r="F11" s="346" t="s">
        <v>604</v>
      </c>
      <c r="G11" s="380">
        <f>110236*1.27</f>
        <v>139999.72</v>
      </c>
    </row>
    <row r="12" spans="1:7" s="368" customFormat="1" ht="46.9" customHeight="1" thickBot="1" x14ac:dyDescent="0.3">
      <c r="A12" s="382" t="s">
        <v>605</v>
      </c>
      <c r="B12" s="383" t="s">
        <v>606</v>
      </c>
      <c r="C12" s="383" t="s">
        <v>607</v>
      </c>
      <c r="D12" s="384">
        <v>41197</v>
      </c>
      <c r="E12" s="384">
        <v>43023</v>
      </c>
      <c r="F12" s="815" t="s">
        <v>608</v>
      </c>
      <c r="G12" s="385">
        <f>12*52796</f>
        <v>633552</v>
      </c>
    </row>
    <row r="13" spans="1:7" s="368" customFormat="1" ht="45" customHeight="1" x14ac:dyDescent="0.25">
      <c r="A13" s="816" t="s">
        <v>609</v>
      </c>
      <c r="B13" s="817" t="s">
        <v>610</v>
      </c>
      <c r="C13" s="817" t="s">
        <v>611</v>
      </c>
      <c r="D13" s="818">
        <v>41358</v>
      </c>
      <c r="E13" s="818">
        <v>43184</v>
      </c>
      <c r="F13" s="819" t="s">
        <v>612</v>
      </c>
      <c r="G13" s="820">
        <f>246380*12</f>
        <v>2956560</v>
      </c>
    </row>
    <row r="14" spans="1:7" s="368" customFormat="1" ht="45" customHeight="1" x14ac:dyDescent="0.25">
      <c r="A14" s="347" t="s">
        <v>613</v>
      </c>
      <c r="B14" s="97" t="s">
        <v>590</v>
      </c>
      <c r="C14" s="97" t="s">
        <v>614</v>
      </c>
      <c r="D14" s="344">
        <v>41358</v>
      </c>
      <c r="E14" s="344" t="s">
        <v>247</v>
      </c>
      <c r="F14" s="346" t="s">
        <v>615</v>
      </c>
      <c r="G14" s="380">
        <v>4000000</v>
      </c>
    </row>
    <row r="15" spans="1:7" s="368" customFormat="1" ht="45" customHeight="1" x14ac:dyDescent="0.25">
      <c r="A15" s="347" t="s">
        <v>616</v>
      </c>
      <c r="B15" s="97" t="s">
        <v>617</v>
      </c>
      <c r="C15" s="97" t="s">
        <v>169</v>
      </c>
      <c r="D15" s="344">
        <v>41432</v>
      </c>
      <c r="E15" s="344">
        <v>42161</v>
      </c>
      <c r="F15" s="369" t="s">
        <v>579</v>
      </c>
      <c r="G15" s="380">
        <v>0</v>
      </c>
    </row>
    <row r="16" spans="1:7" s="368" customFormat="1" ht="45" customHeight="1" x14ac:dyDescent="0.25">
      <c r="A16" s="347" t="s">
        <v>618</v>
      </c>
      <c r="B16" s="97" t="s">
        <v>619</v>
      </c>
      <c r="C16" s="97" t="s">
        <v>620</v>
      </c>
      <c r="D16" s="344">
        <v>37895</v>
      </c>
      <c r="E16" s="344" t="s">
        <v>247</v>
      </c>
      <c r="F16" s="369" t="s">
        <v>322</v>
      </c>
      <c r="G16" s="380">
        <v>1200000</v>
      </c>
    </row>
    <row r="17" spans="1:7" s="368" customFormat="1" ht="45" customHeight="1" x14ac:dyDescent="0.25">
      <c r="A17" s="347" t="s">
        <v>621</v>
      </c>
      <c r="B17" s="97" t="s">
        <v>590</v>
      </c>
      <c r="C17" s="97" t="s">
        <v>622</v>
      </c>
      <c r="D17" s="344">
        <v>41507</v>
      </c>
      <c r="E17" s="344" t="s">
        <v>247</v>
      </c>
      <c r="F17" s="369" t="s">
        <v>322</v>
      </c>
      <c r="G17" s="380">
        <v>500000</v>
      </c>
    </row>
    <row r="18" spans="1:7" s="368" customFormat="1" ht="45" customHeight="1" x14ac:dyDescent="0.25">
      <c r="A18" s="347" t="s">
        <v>623</v>
      </c>
      <c r="B18" s="97" t="s">
        <v>624</v>
      </c>
      <c r="C18" s="97" t="s">
        <v>625</v>
      </c>
      <c r="D18" s="344">
        <v>39802</v>
      </c>
      <c r="E18" s="344" t="s">
        <v>247</v>
      </c>
      <c r="F18" s="369" t="s">
        <v>322</v>
      </c>
      <c r="G18" s="380">
        <v>500000</v>
      </c>
    </row>
    <row r="19" spans="1:7" s="368" customFormat="1" ht="45" customHeight="1" x14ac:dyDescent="0.25">
      <c r="A19" s="347" t="s">
        <v>626</v>
      </c>
      <c r="B19" s="97" t="s">
        <v>627</v>
      </c>
      <c r="C19" s="97" t="s">
        <v>628</v>
      </c>
      <c r="D19" s="344">
        <v>41515</v>
      </c>
      <c r="E19" s="344">
        <v>42078</v>
      </c>
      <c r="F19" s="369" t="s">
        <v>629</v>
      </c>
      <c r="G19" s="380">
        <f>14490000*1.27</f>
        <v>18402300</v>
      </c>
    </row>
    <row r="20" spans="1:7" s="368" customFormat="1" ht="45" customHeight="1" x14ac:dyDescent="0.25">
      <c r="A20" s="347" t="s">
        <v>630</v>
      </c>
      <c r="B20" s="97" t="s">
        <v>631</v>
      </c>
      <c r="C20" s="97" t="s">
        <v>628</v>
      </c>
      <c r="D20" s="344">
        <v>41516</v>
      </c>
      <c r="E20" s="344">
        <v>42078</v>
      </c>
      <c r="F20" s="369" t="s">
        <v>632</v>
      </c>
      <c r="G20" s="380">
        <f>2896400*1.27</f>
        <v>3678428</v>
      </c>
    </row>
    <row r="21" spans="1:7" s="368" customFormat="1" ht="82.5" customHeight="1" x14ac:dyDescent="0.25">
      <c r="A21" s="347" t="s">
        <v>633</v>
      </c>
      <c r="B21" s="97" t="s">
        <v>634</v>
      </c>
      <c r="C21" s="97" t="s">
        <v>635</v>
      </c>
      <c r="D21" s="344">
        <v>40283</v>
      </c>
      <c r="E21" s="344" t="s">
        <v>247</v>
      </c>
      <c r="F21" s="369" t="s">
        <v>813</v>
      </c>
      <c r="G21" s="380">
        <f>(392000+90000)*1.27</f>
        <v>612140</v>
      </c>
    </row>
    <row r="22" spans="1:7" s="368" customFormat="1" ht="45" customHeight="1" x14ac:dyDescent="0.25">
      <c r="A22" s="347" t="s">
        <v>636</v>
      </c>
      <c r="B22" s="97" t="s">
        <v>634</v>
      </c>
      <c r="C22" s="97" t="s">
        <v>637</v>
      </c>
      <c r="D22" s="344">
        <v>39653</v>
      </c>
      <c r="E22" s="344" t="s">
        <v>247</v>
      </c>
      <c r="F22" s="369" t="s">
        <v>638</v>
      </c>
      <c r="G22" s="380">
        <f>252441*1.27</f>
        <v>320600.07</v>
      </c>
    </row>
    <row r="23" spans="1:7" s="368" customFormat="1" ht="45" customHeight="1" x14ac:dyDescent="0.25">
      <c r="A23" s="347" t="s">
        <v>639</v>
      </c>
      <c r="B23" s="97" t="s">
        <v>634</v>
      </c>
      <c r="C23" s="97" t="s">
        <v>640</v>
      </c>
      <c r="D23" s="344">
        <v>39653</v>
      </c>
      <c r="E23" s="344" t="s">
        <v>247</v>
      </c>
      <c r="F23" s="369" t="s">
        <v>577</v>
      </c>
      <c r="G23" s="380">
        <f>337500*1.27</f>
        <v>428625</v>
      </c>
    </row>
    <row r="24" spans="1:7" s="368" customFormat="1" ht="45" customHeight="1" x14ac:dyDescent="0.25">
      <c r="A24" s="347" t="s">
        <v>641</v>
      </c>
      <c r="B24" s="97" t="s">
        <v>642</v>
      </c>
      <c r="C24" s="97" t="s">
        <v>643</v>
      </c>
      <c r="D24" s="344">
        <v>41393</v>
      </c>
      <c r="E24" s="344">
        <v>43738</v>
      </c>
      <c r="F24" s="369" t="s">
        <v>644</v>
      </c>
      <c r="G24" s="380">
        <f>2650440*4</f>
        <v>10601760</v>
      </c>
    </row>
    <row r="25" spans="1:7" s="368" customFormat="1" ht="45" customHeight="1" thickBot="1" x14ac:dyDescent="0.3">
      <c r="A25" s="382" t="s">
        <v>645</v>
      </c>
      <c r="B25" s="383" t="s">
        <v>646</v>
      </c>
      <c r="C25" s="383" t="s">
        <v>169</v>
      </c>
      <c r="D25" s="384">
        <v>41631</v>
      </c>
      <c r="E25" s="384">
        <v>42360</v>
      </c>
      <c r="F25" s="351">
        <v>300000</v>
      </c>
      <c r="G25" s="385">
        <v>0</v>
      </c>
    </row>
    <row r="27" spans="1:7" s="368" customFormat="1" ht="39.6" customHeight="1" thickBot="1" x14ac:dyDescent="0.3">
      <c r="A27" s="1819" t="s">
        <v>647</v>
      </c>
      <c r="B27" s="1819"/>
      <c r="C27" s="1819"/>
      <c r="D27" s="1819"/>
      <c r="E27" s="1819"/>
      <c r="F27" s="1819"/>
      <c r="G27" s="1819"/>
    </row>
    <row r="28" spans="1:7" s="367" customFormat="1" ht="49.15" customHeight="1" thickBot="1" x14ac:dyDescent="0.3">
      <c r="A28" s="352" t="s">
        <v>586</v>
      </c>
      <c r="B28" s="602" t="s">
        <v>243</v>
      </c>
      <c r="C28" s="140" t="s">
        <v>244</v>
      </c>
      <c r="D28" s="140" t="s">
        <v>245</v>
      </c>
      <c r="E28" s="140" t="s">
        <v>246</v>
      </c>
      <c r="F28" s="140" t="s">
        <v>153</v>
      </c>
      <c r="G28" s="603" t="s">
        <v>648</v>
      </c>
    </row>
    <row r="29" spans="1:7" s="368" customFormat="1" ht="33" customHeight="1" x14ac:dyDescent="0.25">
      <c r="A29" s="393" t="s">
        <v>649</v>
      </c>
      <c r="B29" s="390" t="s">
        <v>650</v>
      </c>
      <c r="C29" s="155" t="s">
        <v>651</v>
      </c>
      <c r="D29" s="386">
        <v>38398</v>
      </c>
      <c r="E29" s="391" t="s">
        <v>247</v>
      </c>
      <c r="F29" s="392" t="s">
        <v>652</v>
      </c>
      <c r="G29" s="394">
        <f>39200*4*1.27</f>
        <v>199136</v>
      </c>
    </row>
    <row r="30" spans="1:7" s="368" customFormat="1" ht="33" customHeight="1" x14ac:dyDescent="0.25">
      <c r="A30" s="395" t="s">
        <v>653</v>
      </c>
      <c r="B30" s="373" t="s">
        <v>654</v>
      </c>
      <c r="C30" s="97" t="s">
        <v>655</v>
      </c>
      <c r="D30" s="344">
        <v>37622</v>
      </c>
      <c r="E30" s="374" t="s">
        <v>247</v>
      </c>
      <c r="F30" s="375" t="s">
        <v>656</v>
      </c>
      <c r="G30" s="381" t="s">
        <v>657</v>
      </c>
    </row>
    <row r="31" spans="1:7" s="368" customFormat="1" ht="33" customHeight="1" x14ac:dyDescent="0.25">
      <c r="A31" s="395" t="s">
        <v>658</v>
      </c>
      <c r="B31" s="373" t="s">
        <v>659</v>
      </c>
      <c r="C31" s="97" t="s">
        <v>660</v>
      </c>
      <c r="D31" s="344">
        <v>41407</v>
      </c>
      <c r="E31" s="374" t="s">
        <v>247</v>
      </c>
      <c r="F31" s="375" t="s">
        <v>661</v>
      </c>
      <c r="G31" s="381">
        <v>52200</v>
      </c>
    </row>
    <row r="32" spans="1:7" s="368" customFormat="1" ht="33" customHeight="1" x14ac:dyDescent="0.25">
      <c r="A32" s="395" t="s">
        <v>662</v>
      </c>
      <c r="B32" s="373" t="s">
        <v>659</v>
      </c>
      <c r="C32" s="97" t="s">
        <v>663</v>
      </c>
      <c r="D32" s="344">
        <v>41291</v>
      </c>
      <c r="E32" s="374" t="s">
        <v>247</v>
      </c>
      <c r="F32" s="375" t="s">
        <v>664</v>
      </c>
      <c r="G32" s="381">
        <v>34476</v>
      </c>
    </row>
    <row r="33" spans="1:7" s="368" customFormat="1" ht="33" customHeight="1" x14ac:dyDescent="0.25">
      <c r="A33" s="395" t="s">
        <v>665</v>
      </c>
      <c r="B33" s="373" t="s">
        <v>659</v>
      </c>
      <c r="C33" s="97" t="s">
        <v>666</v>
      </c>
      <c r="D33" s="344">
        <v>41554</v>
      </c>
      <c r="E33" s="374" t="s">
        <v>247</v>
      </c>
      <c r="F33" s="375" t="s">
        <v>667</v>
      </c>
      <c r="G33" s="381">
        <v>27768</v>
      </c>
    </row>
    <row r="34" spans="1:7" s="368" customFormat="1" ht="33" customHeight="1" x14ac:dyDescent="0.25">
      <c r="A34" s="395" t="s">
        <v>668</v>
      </c>
      <c r="B34" s="373" t="s">
        <v>669</v>
      </c>
      <c r="C34" s="97" t="s">
        <v>670</v>
      </c>
      <c r="D34" s="344">
        <v>39903</v>
      </c>
      <c r="E34" s="374" t="s">
        <v>247</v>
      </c>
      <c r="F34" s="375" t="s">
        <v>671</v>
      </c>
      <c r="G34" s="381">
        <f>3*7174+9*6449</f>
        <v>79563</v>
      </c>
    </row>
    <row r="35" spans="1:7" s="368" customFormat="1" ht="45" customHeight="1" x14ac:dyDescent="0.25">
      <c r="A35" s="395" t="s">
        <v>672</v>
      </c>
      <c r="B35" s="373" t="s">
        <v>673</v>
      </c>
      <c r="C35" s="97" t="s">
        <v>674</v>
      </c>
      <c r="D35" s="344">
        <v>38902</v>
      </c>
      <c r="E35" s="374" t="s">
        <v>247</v>
      </c>
      <c r="F35" s="375" t="s">
        <v>154</v>
      </c>
      <c r="G35" s="381">
        <v>1000000</v>
      </c>
    </row>
    <row r="36" spans="1:7" s="368" customFormat="1" ht="45" customHeight="1" x14ac:dyDescent="0.25">
      <c r="A36" s="395" t="s">
        <v>675</v>
      </c>
      <c r="B36" s="373" t="s">
        <v>673</v>
      </c>
      <c r="C36" s="97" t="s">
        <v>676</v>
      </c>
      <c r="D36" s="344">
        <v>38902</v>
      </c>
      <c r="E36" s="374" t="s">
        <v>247</v>
      </c>
      <c r="F36" s="375" t="s">
        <v>154</v>
      </c>
      <c r="G36" s="381">
        <v>1000000</v>
      </c>
    </row>
    <row r="37" spans="1:7" s="368" customFormat="1" ht="46.5" customHeight="1" x14ac:dyDescent="0.25">
      <c r="A37" s="395" t="s">
        <v>677</v>
      </c>
      <c r="B37" s="373" t="s">
        <v>678</v>
      </c>
      <c r="C37" s="97" t="s">
        <v>679</v>
      </c>
      <c r="D37" s="344">
        <v>40234</v>
      </c>
      <c r="E37" s="374" t="s">
        <v>247</v>
      </c>
      <c r="F37" s="375" t="s">
        <v>680</v>
      </c>
      <c r="G37" s="381">
        <f>34797*1.27</f>
        <v>44192.19</v>
      </c>
    </row>
    <row r="38" spans="1:7" s="368" customFormat="1" ht="33" customHeight="1" x14ac:dyDescent="0.25">
      <c r="A38" s="395" t="s">
        <v>681</v>
      </c>
      <c r="B38" s="373" t="s">
        <v>682</v>
      </c>
      <c r="C38" s="97" t="s">
        <v>683</v>
      </c>
      <c r="D38" s="344">
        <v>41122</v>
      </c>
      <c r="E38" s="374" t="s">
        <v>247</v>
      </c>
      <c r="F38" s="375" t="s">
        <v>684</v>
      </c>
      <c r="G38" s="381">
        <f>121360*1.27</f>
        <v>154127.20000000001</v>
      </c>
    </row>
    <row r="39" spans="1:7" s="368" customFormat="1" ht="33" customHeight="1" x14ac:dyDescent="0.25">
      <c r="A39" s="395" t="s">
        <v>685</v>
      </c>
      <c r="B39" s="373" t="s">
        <v>682</v>
      </c>
      <c r="C39" s="97" t="s">
        <v>686</v>
      </c>
      <c r="D39" s="344">
        <v>41153</v>
      </c>
      <c r="E39" s="374" t="s">
        <v>247</v>
      </c>
      <c r="F39" s="375" t="s">
        <v>687</v>
      </c>
      <c r="G39" s="381">
        <f>520044*1.27</f>
        <v>660455.88</v>
      </c>
    </row>
    <row r="40" spans="1:7" s="368" customFormat="1" ht="33" customHeight="1" x14ac:dyDescent="0.25">
      <c r="A40" s="395" t="s">
        <v>688</v>
      </c>
      <c r="B40" s="373" t="s">
        <v>689</v>
      </c>
      <c r="C40" s="97" t="s">
        <v>690</v>
      </c>
      <c r="D40" s="344">
        <v>40016</v>
      </c>
      <c r="E40" s="374" t="s">
        <v>247</v>
      </c>
      <c r="F40" s="375" t="s">
        <v>154</v>
      </c>
      <c r="G40" s="381">
        <v>50000</v>
      </c>
    </row>
    <row r="41" spans="1:7" s="368" customFormat="1" ht="33" customHeight="1" x14ac:dyDescent="0.25">
      <c r="A41" s="395" t="s">
        <v>691</v>
      </c>
      <c r="B41" s="373" t="s">
        <v>316</v>
      </c>
      <c r="C41" s="97" t="s">
        <v>692</v>
      </c>
      <c r="D41" s="344">
        <v>41275</v>
      </c>
      <c r="E41" s="374" t="s">
        <v>247</v>
      </c>
      <c r="F41" s="375" t="s">
        <v>693</v>
      </c>
      <c r="G41" s="381">
        <f>4*100000*1.27</f>
        <v>508000</v>
      </c>
    </row>
    <row r="42" spans="1:7" s="368" customFormat="1" ht="38.25" customHeight="1" x14ac:dyDescent="0.25">
      <c r="A42" s="395" t="s">
        <v>694</v>
      </c>
      <c r="B42" s="373" t="s">
        <v>695</v>
      </c>
      <c r="C42" s="97" t="s">
        <v>696</v>
      </c>
      <c r="D42" s="344">
        <v>40689</v>
      </c>
      <c r="E42" s="374" t="s">
        <v>247</v>
      </c>
      <c r="F42" s="376" t="s">
        <v>697</v>
      </c>
      <c r="G42" s="381">
        <f>174720*1.27</f>
        <v>221894.39999999999</v>
      </c>
    </row>
    <row r="43" spans="1:7" s="368" customFormat="1" ht="33" customHeight="1" thickBot="1" x14ac:dyDescent="0.3">
      <c r="A43" s="397" t="s">
        <v>698</v>
      </c>
      <c r="B43" s="398" t="s">
        <v>699</v>
      </c>
      <c r="C43" s="383" t="s">
        <v>700</v>
      </c>
      <c r="D43" s="384">
        <v>39814</v>
      </c>
      <c r="E43" s="399" t="s">
        <v>247</v>
      </c>
      <c r="F43" s="400" t="s">
        <v>701</v>
      </c>
      <c r="G43" s="401">
        <f>81900*1.27</f>
        <v>104013</v>
      </c>
    </row>
    <row r="44" spans="1:7" s="368" customFormat="1" ht="33" customHeight="1" x14ac:dyDescent="0.25">
      <c r="A44" s="821" t="s">
        <v>702</v>
      </c>
      <c r="B44" s="822" t="s">
        <v>703</v>
      </c>
      <c r="C44" s="817" t="s">
        <v>704</v>
      </c>
      <c r="D44" s="818">
        <v>37135</v>
      </c>
      <c r="E44" s="823" t="s">
        <v>247</v>
      </c>
      <c r="F44" s="824" t="s">
        <v>154</v>
      </c>
      <c r="G44" s="825">
        <f>200000*1.27</f>
        <v>254000</v>
      </c>
    </row>
    <row r="45" spans="1:7" s="368" customFormat="1" ht="33" customHeight="1" x14ac:dyDescent="0.25">
      <c r="A45" s="395" t="s">
        <v>616</v>
      </c>
      <c r="B45" s="373" t="s">
        <v>705</v>
      </c>
      <c r="C45" s="97" t="s">
        <v>706</v>
      </c>
      <c r="D45" s="344">
        <v>40260</v>
      </c>
      <c r="E45" s="374" t="s">
        <v>247</v>
      </c>
      <c r="F45" s="375" t="s">
        <v>707</v>
      </c>
      <c r="G45" s="381">
        <f>12760*1.27</f>
        <v>16205.2</v>
      </c>
    </row>
    <row r="46" spans="1:7" s="368" customFormat="1" ht="33" customHeight="1" x14ac:dyDescent="0.25">
      <c r="A46" s="395" t="s">
        <v>623</v>
      </c>
      <c r="B46" s="373" t="s">
        <v>708</v>
      </c>
      <c r="C46" s="97" t="s">
        <v>709</v>
      </c>
      <c r="D46" s="344">
        <v>41821</v>
      </c>
      <c r="E46" s="377">
        <v>42186</v>
      </c>
      <c r="F46" s="375" t="s">
        <v>154</v>
      </c>
      <c r="G46" s="381">
        <v>1016000</v>
      </c>
    </row>
    <row r="47" spans="1:7" s="368" customFormat="1" ht="33" customHeight="1" x14ac:dyDescent="0.25">
      <c r="A47" s="395" t="s">
        <v>710</v>
      </c>
      <c r="B47" s="373" t="s">
        <v>711</v>
      </c>
      <c r="C47" s="97" t="s">
        <v>712</v>
      </c>
      <c r="D47" s="344">
        <v>38718</v>
      </c>
      <c r="E47" s="374" t="s">
        <v>247</v>
      </c>
      <c r="F47" s="375" t="s">
        <v>713</v>
      </c>
      <c r="G47" s="381">
        <f>499555*4</f>
        <v>1998220</v>
      </c>
    </row>
    <row r="48" spans="1:7" s="368" customFormat="1" ht="45" customHeight="1" x14ac:dyDescent="0.25">
      <c r="A48" s="395" t="s">
        <v>714</v>
      </c>
      <c r="B48" s="373" t="s">
        <v>715</v>
      </c>
      <c r="C48" s="97" t="s">
        <v>716</v>
      </c>
      <c r="D48" s="344">
        <v>38047</v>
      </c>
      <c r="E48" s="374" t="s">
        <v>247</v>
      </c>
      <c r="F48" s="375" t="s">
        <v>717</v>
      </c>
      <c r="G48" s="381">
        <f>64797*1.27*4</f>
        <v>329168.76</v>
      </c>
    </row>
    <row r="49" spans="1:7" s="368" customFormat="1" ht="33" customHeight="1" x14ac:dyDescent="0.25">
      <c r="A49" s="395" t="s">
        <v>718</v>
      </c>
      <c r="B49" s="373" t="s">
        <v>719</v>
      </c>
      <c r="C49" s="97" t="s">
        <v>720</v>
      </c>
      <c r="D49" s="344">
        <v>41275</v>
      </c>
      <c r="E49" s="374" t="s">
        <v>247</v>
      </c>
      <c r="F49" s="375" t="s">
        <v>721</v>
      </c>
      <c r="G49" s="381">
        <f>61200*1.27</f>
        <v>77724</v>
      </c>
    </row>
    <row r="50" spans="1:7" s="368" customFormat="1" ht="33" customHeight="1" x14ac:dyDescent="0.25">
      <c r="A50" s="395" t="s">
        <v>722</v>
      </c>
      <c r="B50" s="373" t="s">
        <v>723</v>
      </c>
      <c r="C50" s="97" t="s">
        <v>724</v>
      </c>
      <c r="D50" s="344">
        <v>41582</v>
      </c>
      <c r="E50" s="374" t="s">
        <v>247</v>
      </c>
      <c r="F50" s="375" t="s">
        <v>725</v>
      </c>
      <c r="G50" s="381">
        <f>6000*1.27*12</f>
        <v>91440</v>
      </c>
    </row>
    <row r="51" spans="1:7" s="368" customFormat="1" ht="33" customHeight="1" x14ac:dyDescent="0.25">
      <c r="A51" s="395" t="s">
        <v>726</v>
      </c>
      <c r="B51" s="373" t="s">
        <v>727</v>
      </c>
      <c r="C51" s="97" t="s">
        <v>728</v>
      </c>
      <c r="D51" s="344">
        <v>40544</v>
      </c>
      <c r="E51" s="374" t="s">
        <v>247</v>
      </c>
      <c r="F51" s="375" t="s">
        <v>729</v>
      </c>
      <c r="G51" s="381">
        <f>6778*4</f>
        <v>27112</v>
      </c>
    </row>
    <row r="52" spans="1:7" s="368" customFormat="1" ht="33" customHeight="1" x14ac:dyDescent="0.25">
      <c r="A52" s="395" t="s">
        <v>730</v>
      </c>
      <c r="B52" s="373" t="s">
        <v>731</v>
      </c>
      <c r="C52" s="97" t="s">
        <v>732</v>
      </c>
      <c r="D52" s="344">
        <v>39709</v>
      </c>
      <c r="E52" s="374" t="s">
        <v>247</v>
      </c>
      <c r="F52" s="375" t="s">
        <v>733</v>
      </c>
      <c r="G52" s="381">
        <f>86900*1.27*12</f>
        <v>1324356</v>
      </c>
    </row>
    <row r="53" spans="1:7" s="368" customFormat="1" ht="33" customHeight="1" x14ac:dyDescent="0.25">
      <c r="A53" s="395" t="s">
        <v>734</v>
      </c>
      <c r="B53" s="373" t="s">
        <v>590</v>
      </c>
      <c r="C53" s="97" t="s">
        <v>735</v>
      </c>
      <c r="D53" s="344">
        <v>39924</v>
      </c>
      <c r="E53" s="374" t="s">
        <v>247</v>
      </c>
      <c r="F53" s="375" t="s">
        <v>736</v>
      </c>
      <c r="G53" s="381">
        <f>+(6418+5264)*12*1.27-2</f>
        <v>178031.68</v>
      </c>
    </row>
    <row r="54" spans="1:7" s="368" customFormat="1" ht="33" customHeight="1" x14ac:dyDescent="0.25">
      <c r="A54" s="395" t="s">
        <v>737</v>
      </c>
      <c r="B54" s="373" t="s">
        <v>738</v>
      </c>
      <c r="C54" s="97" t="s">
        <v>739</v>
      </c>
      <c r="D54" s="344">
        <v>37987</v>
      </c>
      <c r="E54" s="374" t="s">
        <v>247</v>
      </c>
      <c r="F54" s="375" t="s">
        <v>740</v>
      </c>
      <c r="G54" s="381">
        <f>4*48000*1.27</f>
        <v>243840</v>
      </c>
    </row>
    <row r="55" spans="1:7" s="368" customFormat="1" ht="33" customHeight="1" x14ac:dyDescent="0.25">
      <c r="A55" s="395" t="s">
        <v>741</v>
      </c>
      <c r="B55" s="373" t="s">
        <v>742</v>
      </c>
      <c r="C55" s="97" t="s">
        <v>743</v>
      </c>
      <c r="D55" s="344">
        <v>39083</v>
      </c>
      <c r="E55" s="374" t="s">
        <v>247</v>
      </c>
      <c r="F55" s="375" t="s">
        <v>154</v>
      </c>
      <c r="G55" s="381">
        <v>9162000</v>
      </c>
    </row>
    <row r="56" spans="1:7" s="368" customFormat="1" ht="33" customHeight="1" x14ac:dyDescent="0.25">
      <c r="A56" s="395" t="s">
        <v>744</v>
      </c>
      <c r="B56" s="373" t="s">
        <v>745</v>
      </c>
      <c r="C56" s="97" t="s">
        <v>746</v>
      </c>
      <c r="D56" s="344">
        <v>41254</v>
      </c>
      <c r="E56" s="374" t="s">
        <v>247</v>
      </c>
      <c r="F56" s="375" t="s">
        <v>747</v>
      </c>
      <c r="G56" s="381">
        <f>13900*1.27*12</f>
        <v>211836</v>
      </c>
    </row>
    <row r="57" spans="1:7" s="368" customFormat="1" ht="33" customHeight="1" x14ac:dyDescent="0.25">
      <c r="A57" s="396" t="s">
        <v>748</v>
      </c>
      <c r="B57" s="373" t="s">
        <v>745</v>
      </c>
      <c r="C57" s="97" t="s">
        <v>749</v>
      </c>
      <c r="D57" s="344" t="s">
        <v>750</v>
      </c>
      <c r="E57" s="374" t="s">
        <v>247</v>
      </c>
      <c r="F57" s="375" t="s">
        <v>154</v>
      </c>
      <c r="G57" s="381">
        <v>914400</v>
      </c>
    </row>
    <row r="58" spans="1:7" s="368" customFormat="1" ht="33" customHeight="1" x14ac:dyDescent="0.25">
      <c r="A58" s="395" t="s">
        <v>751</v>
      </c>
      <c r="B58" s="373" t="s">
        <v>745</v>
      </c>
      <c r="C58" s="97" t="s">
        <v>752</v>
      </c>
      <c r="D58" s="344">
        <v>39958</v>
      </c>
      <c r="E58" s="374" t="s">
        <v>247</v>
      </c>
      <c r="F58" s="375" t="s">
        <v>753</v>
      </c>
      <c r="G58" s="381">
        <f>9500*1.27*12</f>
        <v>144780</v>
      </c>
    </row>
    <row r="59" spans="1:7" s="368" customFormat="1" ht="33" customHeight="1" x14ac:dyDescent="0.25">
      <c r="A59" s="395" t="s">
        <v>754</v>
      </c>
      <c r="B59" s="373" t="s">
        <v>745</v>
      </c>
      <c r="C59" s="97" t="s">
        <v>755</v>
      </c>
      <c r="D59" s="344">
        <v>39958</v>
      </c>
      <c r="E59" s="374" t="s">
        <v>247</v>
      </c>
      <c r="F59" s="375" t="s">
        <v>756</v>
      </c>
      <c r="G59" s="381">
        <f>16500*1.27*12</f>
        <v>251460</v>
      </c>
    </row>
    <row r="60" spans="1:7" s="368" customFormat="1" ht="33" customHeight="1" x14ac:dyDescent="0.25">
      <c r="A60" s="395" t="s">
        <v>757</v>
      </c>
      <c r="B60" s="373" t="s">
        <v>745</v>
      </c>
      <c r="C60" s="97" t="s">
        <v>758</v>
      </c>
      <c r="D60" s="344">
        <v>40055</v>
      </c>
      <c r="E60" s="374" t="s">
        <v>247</v>
      </c>
      <c r="F60" s="375" t="s">
        <v>154</v>
      </c>
      <c r="G60" s="381">
        <v>609600</v>
      </c>
    </row>
    <row r="61" spans="1:7" s="368" customFormat="1" ht="33" customHeight="1" x14ac:dyDescent="0.25">
      <c r="A61" s="395" t="s">
        <v>759</v>
      </c>
      <c r="B61" s="373" t="s">
        <v>760</v>
      </c>
      <c r="C61" s="97" t="s">
        <v>761</v>
      </c>
      <c r="D61" s="344">
        <v>39881</v>
      </c>
      <c r="E61" s="374" t="s">
        <v>247</v>
      </c>
      <c r="F61" s="375" t="s">
        <v>762</v>
      </c>
      <c r="G61" s="381">
        <f>23880*1.27</f>
        <v>30327.600000000002</v>
      </c>
    </row>
    <row r="62" spans="1:7" s="368" customFormat="1" ht="33" customHeight="1" thickBot="1" x14ac:dyDescent="0.3">
      <c r="A62" s="397" t="s">
        <v>763</v>
      </c>
      <c r="B62" s="398" t="s">
        <v>764</v>
      </c>
      <c r="C62" s="383" t="s">
        <v>765</v>
      </c>
      <c r="D62" s="384">
        <v>40491</v>
      </c>
      <c r="E62" s="399" t="s">
        <v>247</v>
      </c>
      <c r="F62" s="400" t="s">
        <v>766</v>
      </c>
      <c r="G62" s="401">
        <f>12*3700*1.27</f>
        <v>56388</v>
      </c>
    </row>
    <row r="63" spans="1:7" s="368" customFormat="1" ht="33" customHeight="1" x14ac:dyDescent="0.25">
      <c r="A63" s="821" t="s">
        <v>767</v>
      </c>
      <c r="B63" s="822" t="s">
        <v>768</v>
      </c>
      <c r="C63" s="817" t="s">
        <v>769</v>
      </c>
      <c r="D63" s="818">
        <v>35478</v>
      </c>
      <c r="E63" s="823" t="s">
        <v>247</v>
      </c>
      <c r="F63" s="824" t="s">
        <v>154</v>
      </c>
      <c r="G63" s="825">
        <v>800000</v>
      </c>
    </row>
    <row r="64" spans="1:7" s="368" customFormat="1" ht="33" customHeight="1" x14ac:dyDescent="0.25">
      <c r="A64" s="395" t="s">
        <v>639</v>
      </c>
      <c r="B64" s="373" t="s">
        <v>770</v>
      </c>
      <c r="C64" s="97" t="s">
        <v>771</v>
      </c>
      <c r="D64" s="344">
        <v>36696</v>
      </c>
      <c r="E64" s="374" t="s">
        <v>247</v>
      </c>
      <c r="F64" s="375" t="s">
        <v>154</v>
      </c>
      <c r="G64" s="381">
        <v>2286000</v>
      </c>
    </row>
    <row r="65" spans="1:7" s="368" customFormat="1" ht="33" customHeight="1" x14ac:dyDescent="0.25">
      <c r="A65" s="395" t="s">
        <v>772</v>
      </c>
      <c r="B65" s="373" t="s">
        <v>773</v>
      </c>
      <c r="C65" s="97" t="s">
        <v>774</v>
      </c>
      <c r="D65" s="344">
        <v>41135</v>
      </c>
      <c r="E65" s="374" t="s">
        <v>247</v>
      </c>
      <c r="F65" s="375" t="s">
        <v>775</v>
      </c>
      <c r="G65" s="381">
        <v>100</v>
      </c>
    </row>
    <row r="66" spans="1:7" s="368" customFormat="1" ht="33" customHeight="1" x14ac:dyDescent="0.25">
      <c r="A66" s="395" t="s">
        <v>776</v>
      </c>
      <c r="B66" s="373" t="s">
        <v>777</v>
      </c>
      <c r="C66" s="97" t="s">
        <v>778</v>
      </c>
      <c r="D66" s="344">
        <v>38353</v>
      </c>
      <c r="E66" s="374" t="s">
        <v>247</v>
      </c>
      <c r="F66" s="375" t="s">
        <v>779</v>
      </c>
      <c r="G66" s="381">
        <f>124200*1.27*12</f>
        <v>1892808</v>
      </c>
    </row>
    <row r="67" spans="1:7" s="368" customFormat="1" ht="33" customHeight="1" x14ac:dyDescent="0.25">
      <c r="A67" s="395" t="s">
        <v>780</v>
      </c>
      <c r="B67" s="373" t="s">
        <v>781</v>
      </c>
      <c r="C67" s="97" t="s">
        <v>782</v>
      </c>
      <c r="D67" s="344">
        <v>41040</v>
      </c>
      <c r="E67" s="374" t="s">
        <v>783</v>
      </c>
      <c r="F67" s="376" t="s">
        <v>784</v>
      </c>
      <c r="G67" s="381">
        <f>+(150000+120000+18000)*1.27</f>
        <v>365760</v>
      </c>
    </row>
    <row r="68" spans="1:7" s="368" customFormat="1" ht="33" customHeight="1" x14ac:dyDescent="0.25">
      <c r="A68" s="395" t="s">
        <v>785</v>
      </c>
      <c r="B68" s="373" t="s">
        <v>786</v>
      </c>
      <c r="C68" s="97" t="s">
        <v>787</v>
      </c>
      <c r="D68" s="344">
        <v>39873</v>
      </c>
      <c r="E68" s="374" t="s">
        <v>247</v>
      </c>
      <c r="F68" s="375" t="s">
        <v>788</v>
      </c>
      <c r="G68" s="381">
        <f>60450*1.27*6+3</f>
        <v>460632</v>
      </c>
    </row>
    <row r="69" spans="1:7" s="368" customFormat="1" ht="33" customHeight="1" x14ac:dyDescent="0.25">
      <c r="A69" s="395" t="s">
        <v>789</v>
      </c>
      <c r="B69" s="373" t="s">
        <v>323</v>
      </c>
      <c r="C69" s="97" t="s">
        <v>790</v>
      </c>
      <c r="D69" s="344">
        <v>40078</v>
      </c>
      <c r="E69" s="374" t="s">
        <v>247</v>
      </c>
      <c r="F69" s="375" t="s">
        <v>791</v>
      </c>
      <c r="G69" s="381">
        <f>29955*12</f>
        <v>359460</v>
      </c>
    </row>
    <row r="70" spans="1:7" s="368" customFormat="1" ht="33" customHeight="1" x14ac:dyDescent="0.25">
      <c r="A70" s="395" t="s">
        <v>792</v>
      </c>
      <c r="B70" s="373" t="s">
        <v>793</v>
      </c>
      <c r="C70" s="97" t="s">
        <v>794</v>
      </c>
      <c r="D70" s="344">
        <v>41562</v>
      </c>
      <c r="E70" s="374" t="s">
        <v>247</v>
      </c>
      <c r="F70" s="375" t="s">
        <v>154</v>
      </c>
      <c r="G70" s="381">
        <v>1150620</v>
      </c>
    </row>
    <row r="71" spans="1:7" s="368" customFormat="1" ht="33" customHeight="1" x14ac:dyDescent="0.25">
      <c r="A71" s="395" t="s">
        <v>795</v>
      </c>
      <c r="B71" s="373" t="s">
        <v>796</v>
      </c>
      <c r="C71" s="97" t="s">
        <v>797</v>
      </c>
      <c r="D71" s="344">
        <v>38657</v>
      </c>
      <c r="E71" s="374" t="s">
        <v>247</v>
      </c>
      <c r="F71" s="375" t="s">
        <v>798</v>
      </c>
      <c r="G71" s="381">
        <f>44929*1.27*4+1</f>
        <v>228240.32</v>
      </c>
    </row>
    <row r="72" spans="1:7" s="368" customFormat="1" ht="33" customHeight="1" x14ac:dyDescent="0.25">
      <c r="A72" s="395" t="s">
        <v>799</v>
      </c>
      <c r="B72" s="373" t="s">
        <v>800</v>
      </c>
      <c r="C72" s="97" t="s">
        <v>801</v>
      </c>
      <c r="D72" s="344">
        <v>38861</v>
      </c>
      <c r="E72" s="374" t="s">
        <v>247</v>
      </c>
      <c r="F72" s="375" t="s">
        <v>154</v>
      </c>
      <c r="G72" s="381">
        <v>2540000</v>
      </c>
    </row>
    <row r="73" spans="1:7" s="368" customFormat="1" ht="42.6" customHeight="1" x14ac:dyDescent="0.25">
      <c r="A73" s="395" t="s">
        <v>802</v>
      </c>
      <c r="B73" s="373" t="s">
        <v>803</v>
      </c>
      <c r="C73" s="97" t="s">
        <v>804</v>
      </c>
      <c r="D73" s="344">
        <v>39548</v>
      </c>
      <c r="E73" s="374" t="s">
        <v>805</v>
      </c>
      <c r="F73" s="375" t="s">
        <v>806</v>
      </c>
      <c r="G73" s="381">
        <f>339176*1.27*12</f>
        <v>5169042.24</v>
      </c>
    </row>
    <row r="74" spans="1:7" s="368" customFormat="1" ht="33" customHeight="1" thickBot="1" x14ac:dyDescent="0.3">
      <c r="A74" s="397" t="s">
        <v>807</v>
      </c>
      <c r="B74" s="398" t="s">
        <v>808</v>
      </c>
      <c r="C74" s="383" t="s">
        <v>809</v>
      </c>
      <c r="D74" s="384">
        <v>39548</v>
      </c>
      <c r="E74" s="399" t="s">
        <v>247</v>
      </c>
      <c r="F74" s="400" t="s">
        <v>810</v>
      </c>
      <c r="G74" s="401">
        <f>12450*12</f>
        <v>149400</v>
      </c>
    </row>
    <row r="75" spans="1:7" s="368" customFormat="1" x14ac:dyDescent="0.25">
      <c r="A75" s="329"/>
      <c r="B75" s="349"/>
      <c r="C75" s="378"/>
      <c r="D75" s="379"/>
      <c r="E75" s="378"/>
      <c r="F75" s="350"/>
      <c r="G75" s="350"/>
    </row>
  </sheetData>
  <mergeCells count="2">
    <mergeCell ref="A1:G1"/>
    <mergeCell ref="A27:G27"/>
  </mergeCells>
  <phoneticPr fontId="28" type="noConversion"/>
  <printOptions horizontalCentered="1"/>
  <pageMargins left="0.59055118110236227" right="0.59055118110236227" top="0.78740157480314965" bottom="0.78740157480314965" header="0.31496062992125984" footer="0.31496062992125984"/>
  <pageSetup paperSize="9" scale="77" orientation="landscape" r:id="rId1"/>
  <headerFooter>
    <oddHeader>&amp;L&amp;"Arial,Dőlt"&amp;9&amp;U 3. sz. táblázat</oddHeader>
    <oddFooter>&amp;CNagykőrös Város Önkormányzat 2014. évi költségvetési rendeletének I. sz. módosítása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L26"/>
  <sheetViews>
    <sheetView view="pageBreakPreview" zoomScaleNormal="100" zoomScaleSheetLayoutView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sqref="A1:L1"/>
    </sheetView>
  </sheetViews>
  <sheetFormatPr defaultColWidth="9.140625" defaultRowHeight="15" x14ac:dyDescent="0.25"/>
  <cols>
    <col min="1" max="1" width="8.140625" style="64" customWidth="1"/>
    <col min="2" max="2" width="65.7109375" style="64" customWidth="1"/>
    <col min="3" max="3" width="13.7109375" style="64" customWidth="1"/>
    <col min="4" max="4" width="12" style="64" hidden="1" customWidth="1"/>
    <col min="5" max="5" width="12.140625" style="64" hidden="1" customWidth="1"/>
    <col min="6" max="6" width="11.42578125" style="64" hidden="1" customWidth="1"/>
    <col min="7" max="7" width="12.140625" style="64" hidden="1" customWidth="1"/>
    <col min="8" max="8" width="11.42578125" style="64" hidden="1" customWidth="1"/>
    <col min="9" max="9" width="13.7109375" style="64" hidden="1" customWidth="1"/>
    <col min="10" max="10" width="13.7109375" style="64" customWidth="1"/>
    <col min="11" max="11" width="10.42578125" style="64" customWidth="1"/>
    <col min="12" max="12" width="11.5703125" style="64" customWidth="1"/>
    <col min="13" max="16384" width="9.140625" style="64"/>
  </cols>
  <sheetData>
    <row r="1" spans="1:12" ht="16.5" customHeight="1" x14ac:dyDescent="0.25">
      <c r="A1" s="1820" t="s">
        <v>219</v>
      </c>
      <c r="B1" s="1820"/>
      <c r="C1" s="1820"/>
      <c r="D1" s="1820"/>
      <c r="E1" s="1820"/>
      <c r="F1" s="1820"/>
      <c r="G1" s="1820"/>
      <c r="H1" s="1820"/>
      <c r="I1" s="1820"/>
      <c r="J1" s="1820"/>
      <c r="K1" s="1820"/>
      <c r="L1" s="1820"/>
    </row>
    <row r="2" spans="1:12" ht="15.75" thickBot="1" x14ac:dyDescent="0.3">
      <c r="A2" s="353"/>
      <c r="B2" s="354"/>
      <c r="C2" s="355"/>
      <c r="F2" s="355"/>
      <c r="H2" s="355" t="s">
        <v>220</v>
      </c>
    </row>
    <row r="3" spans="1:12" ht="44.25" customHeight="1" thickBot="1" x14ac:dyDescent="0.3">
      <c r="A3" s="356" t="s">
        <v>221</v>
      </c>
      <c r="B3" s="140" t="s">
        <v>226</v>
      </c>
      <c r="C3" s="1308" t="s">
        <v>195</v>
      </c>
      <c r="D3" s="1056" t="s">
        <v>157</v>
      </c>
      <c r="E3" s="1308" t="s">
        <v>112</v>
      </c>
      <c r="F3" s="1308" t="s">
        <v>157</v>
      </c>
      <c r="G3" s="1056" t="s">
        <v>112</v>
      </c>
      <c r="H3" s="808" t="s">
        <v>260</v>
      </c>
      <c r="I3" s="1308" t="s">
        <v>830</v>
      </c>
      <c r="J3" s="808" t="s">
        <v>157</v>
      </c>
      <c r="K3" s="1308" t="s">
        <v>879</v>
      </c>
      <c r="L3" s="1309" t="s">
        <v>880</v>
      </c>
    </row>
    <row r="4" spans="1:12" ht="33" customHeight="1" x14ac:dyDescent="0.25">
      <c r="A4" s="357" t="s">
        <v>61</v>
      </c>
      <c r="B4" s="828" t="s">
        <v>227</v>
      </c>
      <c r="C4" s="1052">
        <v>0</v>
      </c>
      <c r="D4" s="1053">
        <v>0</v>
      </c>
      <c r="E4" s="1054">
        <v>0</v>
      </c>
      <c r="F4" s="1054">
        <f>D4+E4</f>
        <v>0</v>
      </c>
      <c r="G4" s="1053"/>
      <c r="H4" s="1055">
        <f>F4+G4</f>
        <v>0</v>
      </c>
      <c r="I4" s="104"/>
      <c r="J4" s="1324">
        <f>C4+I4</f>
        <v>0</v>
      </c>
      <c r="K4" s="1338"/>
      <c r="L4" s="1339">
        <f>J4+K4</f>
        <v>0</v>
      </c>
    </row>
    <row r="5" spans="1:12" ht="33" customHeight="1" x14ac:dyDescent="0.25">
      <c r="A5" s="343" t="s">
        <v>62</v>
      </c>
      <c r="B5" s="829" t="s">
        <v>228</v>
      </c>
      <c r="C5" s="830">
        <v>0</v>
      </c>
      <c r="D5" s="831">
        <v>0</v>
      </c>
      <c r="E5" s="832">
        <v>0</v>
      </c>
      <c r="F5" s="832">
        <f>D5+E5</f>
        <v>0</v>
      </c>
      <c r="G5" s="831"/>
      <c r="H5" s="833">
        <f>F5+G5</f>
        <v>0</v>
      </c>
      <c r="I5" s="63"/>
      <c r="J5" s="1325">
        <f>C5+I5</f>
        <v>0</v>
      </c>
      <c r="K5" s="1333"/>
      <c r="L5" s="1340">
        <f t="shared" ref="L5:L7" si="0">J5+K5</f>
        <v>0</v>
      </c>
    </row>
    <row r="6" spans="1:12" ht="33" customHeight="1" x14ac:dyDescent="0.25">
      <c r="A6" s="343" t="s">
        <v>63</v>
      </c>
      <c r="B6" s="829" t="s">
        <v>229</v>
      </c>
      <c r="C6" s="830">
        <v>0</v>
      </c>
      <c r="D6" s="831">
        <v>0</v>
      </c>
      <c r="E6" s="832">
        <v>0</v>
      </c>
      <c r="F6" s="832">
        <f>D6+E6</f>
        <v>0</v>
      </c>
      <c r="G6" s="831"/>
      <c r="H6" s="833">
        <f t="shared" ref="H6:H17" si="1">F6+G6</f>
        <v>0</v>
      </c>
      <c r="I6" s="63"/>
      <c r="J6" s="1325">
        <f>C6+I6</f>
        <v>0</v>
      </c>
      <c r="K6" s="1333"/>
      <c r="L6" s="1340">
        <f t="shared" si="0"/>
        <v>0</v>
      </c>
    </row>
    <row r="7" spans="1:12" ht="33" customHeight="1" x14ac:dyDescent="0.25">
      <c r="A7" s="343" t="s">
        <v>64</v>
      </c>
      <c r="B7" s="829" t="s">
        <v>230</v>
      </c>
      <c r="C7" s="830">
        <v>0</v>
      </c>
      <c r="D7" s="831">
        <v>0</v>
      </c>
      <c r="E7" s="832">
        <v>0</v>
      </c>
      <c r="F7" s="832">
        <f>D7+E7</f>
        <v>0</v>
      </c>
      <c r="G7" s="831"/>
      <c r="H7" s="833">
        <f t="shared" si="1"/>
        <v>0</v>
      </c>
      <c r="I7" s="63"/>
      <c r="J7" s="1325">
        <f>C7+I7</f>
        <v>0</v>
      </c>
      <c r="K7" s="1333"/>
      <c r="L7" s="1340">
        <f t="shared" si="0"/>
        <v>0</v>
      </c>
    </row>
    <row r="8" spans="1:12" ht="33" customHeight="1" x14ac:dyDescent="0.25">
      <c r="A8" s="343" t="s">
        <v>65</v>
      </c>
      <c r="B8" s="829" t="s">
        <v>231</v>
      </c>
      <c r="C8" s="830">
        <f>SUM(C9:C11)</f>
        <v>23792</v>
      </c>
      <c r="D8" s="830">
        <f t="shared" ref="D8:L8" si="2">SUM(D9:D11)</f>
        <v>22290</v>
      </c>
      <c r="E8" s="830">
        <f t="shared" si="2"/>
        <v>0</v>
      </c>
      <c r="F8" s="830">
        <f t="shared" si="2"/>
        <v>22290</v>
      </c>
      <c r="G8" s="830">
        <f t="shared" si="2"/>
        <v>0</v>
      </c>
      <c r="H8" s="830">
        <f t="shared" si="2"/>
        <v>22290</v>
      </c>
      <c r="I8" s="830">
        <f t="shared" si="2"/>
        <v>0</v>
      </c>
      <c r="J8" s="1326">
        <f t="shared" si="2"/>
        <v>23792</v>
      </c>
      <c r="K8" s="1326">
        <f t="shared" si="2"/>
        <v>0</v>
      </c>
      <c r="L8" s="1150">
        <f t="shared" si="2"/>
        <v>23792</v>
      </c>
    </row>
    <row r="9" spans="1:12" s="199" customFormat="1" ht="29.1" customHeight="1" x14ac:dyDescent="0.25">
      <c r="A9" s="358" t="s">
        <v>99</v>
      </c>
      <c r="B9" s="834" t="s">
        <v>580</v>
      </c>
      <c r="C9" s="835">
        <v>23300</v>
      </c>
      <c r="D9" s="836">
        <v>21665</v>
      </c>
      <c r="E9" s="837"/>
      <c r="F9" s="837">
        <f>D9+E9</f>
        <v>21665</v>
      </c>
      <c r="G9" s="838"/>
      <c r="H9" s="839">
        <f t="shared" si="1"/>
        <v>21665</v>
      </c>
      <c r="I9" s="826"/>
      <c r="J9" s="1327">
        <f>C9+I9</f>
        <v>23300</v>
      </c>
      <c r="K9" s="1335"/>
      <c r="L9" s="1341">
        <f>J9+K9</f>
        <v>23300</v>
      </c>
    </row>
    <row r="10" spans="1:12" s="199" customFormat="1" ht="29.1" customHeight="1" x14ac:dyDescent="0.25">
      <c r="A10" s="359" t="s">
        <v>99</v>
      </c>
      <c r="B10" s="840" t="s">
        <v>232</v>
      </c>
      <c r="C10" s="841">
        <v>492</v>
      </c>
      <c r="D10" s="836">
        <v>625</v>
      </c>
      <c r="E10" s="842">
        <v>0</v>
      </c>
      <c r="F10" s="842">
        <f>D10+E10</f>
        <v>625</v>
      </c>
      <c r="G10" s="836"/>
      <c r="H10" s="843">
        <f t="shared" si="1"/>
        <v>625</v>
      </c>
      <c r="I10" s="859"/>
      <c r="J10" s="1328">
        <f>C10+I10</f>
        <v>492</v>
      </c>
      <c r="K10" s="1336"/>
      <c r="L10" s="1342">
        <f t="shared" ref="L10:L11" si="3">J10+K10</f>
        <v>492</v>
      </c>
    </row>
    <row r="11" spans="1:12" s="199" customFormat="1" ht="29.1" customHeight="1" x14ac:dyDescent="0.25">
      <c r="A11" s="360" t="s">
        <v>99</v>
      </c>
      <c r="B11" s="844" t="s">
        <v>233</v>
      </c>
      <c r="C11" s="845">
        <v>0</v>
      </c>
      <c r="D11" s="846">
        <v>0</v>
      </c>
      <c r="E11" s="847">
        <v>0</v>
      </c>
      <c r="F11" s="847">
        <f>D11+E11</f>
        <v>0</v>
      </c>
      <c r="G11" s="846"/>
      <c r="H11" s="848">
        <f t="shared" si="1"/>
        <v>0</v>
      </c>
      <c r="I11" s="827"/>
      <c r="J11" s="1329">
        <f>C11+I11</f>
        <v>0</v>
      </c>
      <c r="K11" s="1334"/>
      <c r="L11" s="1343">
        <f t="shared" si="3"/>
        <v>0</v>
      </c>
    </row>
    <row r="12" spans="1:12" ht="33" customHeight="1" x14ac:dyDescent="0.25">
      <c r="A12" s="343" t="s">
        <v>66</v>
      </c>
      <c r="B12" s="829" t="s">
        <v>234</v>
      </c>
      <c r="C12" s="830">
        <v>3371</v>
      </c>
      <c r="D12" s="831">
        <v>5271</v>
      </c>
      <c r="E12" s="832"/>
      <c r="F12" s="832">
        <f>D12+E12</f>
        <v>5271</v>
      </c>
      <c r="G12" s="831"/>
      <c r="H12" s="833">
        <f t="shared" si="1"/>
        <v>5271</v>
      </c>
      <c r="I12" s="63"/>
      <c r="J12" s="1330">
        <f>C12+I12</f>
        <v>3371</v>
      </c>
      <c r="K12" s="1333"/>
      <c r="L12" s="1340">
        <f>J12+K12</f>
        <v>3371</v>
      </c>
    </row>
    <row r="13" spans="1:12" ht="33" customHeight="1" x14ac:dyDescent="0.25">
      <c r="A13" s="343" t="s">
        <v>67</v>
      </c>
      <c r="B13" s="829" t="s">
        <v>235</v>
      </c>
      <c r="C13" s="830">
        <f>SUM(C14:C16)</f>
        <v>4200</v>
      </c>
      <c r="D13" s="830">
        <f t="shared" ref="D13:L13" si="4">SUM(D14:D16)</f>
        <v>0</v>
      </c>
      <c r="E13" s="830">
        <f t="shared" si="4"/>
        <v>0</v>
      </c>
      <c r="F13" s="830">
        <f t="shared" si="4"/>
        <v>0</v>
      </c>
      <c r="G13" s="830">
        <f t="shared" si="4"/>
        <v>0</v>
      </c>
      <c r="H13" s="830">
        <f t="shared" si="4"/>
        <v>0</v>
      </c>
      <c r="I13" s="830">
        <f t="shared" si="4"/>
        <v>0</v>
      </c>
      <c r="J13" s="1326">
        <f t="shared" si="4"/>
        <v>4200</v>
      </c>
      <c r="K13" s="1326">
        <f t="shared" si="4"/>
        <v>0</v>
      </c>
      <c r="L13" s="1150">
        <f t="shared" si="4"/>
        <v>4200</v>
      </c>
    </row>
    <row r="14" spans="1:12" s="199" customFormat="1" ht="33" customHeight="1" x14ac:dyDescent="0.25">
      <c r="A14" s="358"/>
      <c r="B14" s="849" t="s">
        <v>471</v>
      </c>
      <c r="C14" s="850">
        <v>1000</v>
      </c>
      <c r="D14" s="851"/>
      <c r="E14" s="852"/>
      <c r="F14" s="852"/>
      <c r="G14" s="851"/>
      <c r="H14" s="853"/>
      <c r="I14" s="826"/>
      <c r="J14" s="1327">
        <f>C14+I14</f>
        <v>1000</v>
      </c>
      <c r="K14" s="1335"/>
      <c r="L14" s="1344">
        <f>J14+K14</f>
        <v>1000</v>
      </c>
    </row>
    <row r="15" spans="1:12" s="199" customFormat="1" ht="33" customHeight="1" x14ac:dyDescent="0.25">
      <c r="A15" s="359"/>
      <c r="B15" s="840" t="s">
        <v>472</v>
      </c>
      <c r="C15" s="841">
        <v>2400</v>
      </c>
      <c r="D15" s="851"/>
      <c r="E15" s="852"/>
      <c r="F15" s="852"/>
      <c r="G15" s="851"/>
      <c r="H15" s="853"/>
      <c r="I15" s="859"/>
      <c r="J15" s="1328">
        <f>C15+I15</f>
        <v>2400</v>
      </c>
      <c r="K15" s="1337"/>
      <c r="L15" s="1345">
        <f t="shared" ref="L15:L16" si="5">J15+K15</f>
        <v>2400</v>
      </c>
    </row>
    <row r="16" spans="1:12" s="199" customFormat="1" ht="33" customHeight="1" x14ac:dyDescent="0.25">
      <c r="A16" s="360"/>
      <c r="B16" s="844" t="s">
        <v>470</v>
      </c>
      <c r="C16" s="854">
        <v>800</v>
      </c>
      <c r="D16" s="851"/>
      <c r="E16" s="852"/>
      <c r="F16" s="852"/>
      <c r="G16" s="851"/>
      <c r="H16" s="853"/>
      <c r="I16" s="827"/>
      <c r="J16" s="1329">
        <f>C16+I16</f>
        <v>800</v>
      </c>
      <c r="K16" s="1334"/>
      <c r="L16" s="1346">
        <f t="shared" si="5"/>
        <v>800</v>
      </c>
    </row>
    <row r="17" spans="1:12" ht="33" customHeight="1" x14ac:dyDescent="0.25">
      <c r="A17" s="343" t="s">
        <v>68</v>
      </c>
      <c r="B17" s="829" t="s">
        <v>236</v>
      </c>
      <c r="C17" s="830">
        <v>0</v>
      </c>
      <c r="D17" s="831">
        <v>0</v>
      </c>
      <c r="E17" s="832">
        <v>0</v>
      </c>
      <c r="F17" s="832">
        <f>D17+E17</f>
        <v>0</v>
      </c>
      <c r="G17" s="831"/>
      <c r="H17" s="833">
        <f t="shared" si="1"/>
        <v>0</v>
      </c>
      <c r="I17" s="63"/>
      <c r="J17" s="1330">
        <f>C17+I17</f>
        <v>0</v>
      </c>
      <c r="K17" s="1333"/>
      <c r="L17" s="1340">
        <f>J17+K17</f>
        <v>0</v>
      </c>
    </row>
    <row r="18" spans="1:12" ht="33" customHeight="1" x14ac:dyDescent="0.25">
      <c r="A18" s="343" t="s">
        <v>69</v>
      </c>
      <c r="B18" s="829" t="s">
        <v>237</v>
      </c>
      <c r="C18" s="830">
        <f>SUM(C19:C20)</f>
        <v>7400</v>
      </c>
      <c r="D18" s="830">
        <f t="shared" ref="D18:L18" si="6">SUM(D19:D20)</f>
        <v>128</v>
      </c>
      <c r="E18" s="830">
        <f t="shared" si="6"/>
        <v>7528</v>
      </c>
      <c r="F18" s="830">
        <f t="shared" si="6"/>
        <v>0</v>
      </c>
      <c r="G18" s="830">
        <f t="shared" si="6"/>
        <v>7528</v>
      </c>
      <c r="H18" s="830">
        <f t="shared" si="6"/>
        <v>0</v>
      </c>
      <c r="I18" s="830">
        <f t="shared" si="6"/>
        <v>128</v>
      </c>
      <c r="J18" s="1326">
        <f t="shared" si="6"/>
        <v>7528</v>
      </c>
      <c r="K18" s="1326">
        <f t="shared" si="6"/>
        <v>0</v>
      </c>
      <c r="L18" s="1150">
        <f t="shared" si="6"/>
        <v>7528</v>
      </c>
    </row>
    <row r="19" spans="1:12" s="199" customFormat="1" ht="29.1" customHeight="1" x14ac:dyDescent="0.25">
      <c r="A19" s="358"/>
      <c r="B19" s="855" t="s">
        <v>151</v>
      </c>
      <c r="C19" s="835">
        <f>'12'!C16</f>
        <v>5000</v>
      </c>
      <c r="D19" s="835">
        <f>'12'!D16</f>
        <v>128</v>
      </c>
      <c r="E19" s="835">
        <f>'12'!E16</f>
        <v>5128</v>
      </c>
      <c r="F19" s="835">
        <f>'12'!J16</f>
        <v>0</v>
      </c>
      <c r="G19" s="835">
        <f>'12'!K16</f>
        <v>5128</v>
      </c>
      <c r="H19" s="835">
        <f>'12'!L16</f>
        <v>0</v>
      </c>
      <c r="I19" s="835">
        <f>'12'!D16</f>
        <v>128</v>
      </c>
      <c r="J19" s="835">
        <f>C19+I19</f>
        <v>5128</v>
      </c>
      <c r="K19" s="835">
        <f>'12'!F16</f>
        <v>0</v>
      </c>
      <c r="L19" s="1151">
        <f>'12'!G16</f>
        <v>5128</v>
      </c>
    </row>
    <row r="20" spans="1:12" s="199" customFormat="1" ht="29.1" customHeight="1" x14ac:dyDescent="0.25">
      <c r="A20" s="360"/>
      <c r="B20" s="856" t="s">
        <v>167</v>
      </c>
      <c r="C20" s="845">
        <f>'12'!C15</f>
        <v>2400</v>
      </c>
      <c r="D20" s="845">
        <f>'12'!D15</f>
        <v>0</v>
      </c>
      <c r="E20" s="845">
        <f>'12'!E15</f>
        <v>2400</v>
      </c>
      <c r="F20" s="845">
        <f>'12'!J15</f>
        <v>0</v>
      </c>
      <c r="G20" s="845">
        <f>'12'!K15</f>
        <v>2400</v>
      </c>
      <c r="H20" s="845">
        <f>'12'!L15</f>
        <v>0</v>
      </c>
      <c r="I20" s="845">
        <f>'12'!D15</f>
        <v>0</v>
      </c>
      <c r="J20" s="845">
        <f>C20+I20</f>
        <v>2400</v>
      </c>
      <c r="K20" s="845">
        <f>'12'!F15</f>
        <v>0</v>
      </c>
      <c r="L20" s="1152">
        <f>'12'!G15</f>
        <v>2400</v>
      </c>
    </row>
    <row r="21" spans="1:12" ht="33" customHeight="1" thickBot="1" x14ac:dyDescent="0.3">
      <c r="A21" s="361" t="s">
        <v>76</v>
      </c>
      <c r="B21" s="857" t="s">
        <v>238</v>
      </c>
      <c r="C21" s="858">
        <v>0</v>
      </c>
      <c r="D21" s="858">
        <v>0</v>
      </c>
      <c r="E21" s="858">
        <v>0</v>
      </c>
      <c r="F21" s="858">
        <v>0</v>
      </c>
      <c r="G21" s="858">
        <v>0</v>
      </c>
      <c r="H21" s="858">
        <v>0</v>
      </c>
      <c r="I21" s="858">
        <v>0</v>
      </c>
      <c r="J21" s="1331">
        <v>0</v>
      </c>
      <c r="K21" s="1333"/>
      <c r="L21" s="1347"/>
    </row>
    <row r="22" spans="1:12" s="364" customFormat="1" ht="33" customHeight="1" thickBot="1" x14ac:dyDescent="0.25">
      <c r="A22" s="362"/>
      <c r="B22" s="363" t="s">
        <v>177</v>
      </c>
      <c r="C22" s="626">
        <f>C4+C5+C6+C7+C8+C12+C13+C17+C18</f>
        <v>38763</v>
      </c>
      <c r="D22" s="626">
        <f t="shared" ref="D22:L22" si="7">D4+D5+D6+D7+D8+D12+D13+D17+D18</f>
        <v>27689</v>
      </c>
      <c r="E22" s="626">
        <f t="shared" si="7"/>
        <v>7528</v>
      </c>
      <c r="F22" s="626">
        <f t="shared" si="7"/>
        <v>27561</v>
      </c>
      <c r="G22" s="626">
        <f t="shared" si="7"/>
        <v>7528</v>
      </c>
      <c r="H22" s="626">
        <f t="shared" si="7"/>
        <v>27561</v>
      </c>
      <c r="I22" s="626">
        <f t="shared" si="7"/>
        <v>128</v>
      </c>
      <c r="J22" s="1332">
        <f t="shared" si="7"/>
        <v>38891</v>
      </c>
      <c r="K22" s="1332">
        <f t="shared" si="7"/>
        <v>0</v>
      </c>
      <c r="L22" s="1153">
        <f t="shared" si="7"/>
        <v>38891</v>
      </c>
    </row>
    <row r="25" spans="1:12" x14ac:dyDescent="0.25">
      <c r="A25" s="336"/>
    </row>
    <row r="26" spans="1:12" x14ac:dyDescent="0.25">
      <c r="A26" s="337"/>
    </row>
  </sheetData>
  <mergeCells count="1">
    <mergeCell ref="A1:L1"/>
  </mergeCells>
  <phoneticPr fontId="5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headerFooter alignWithMargins="0">
    <oddHeader>&amp;L&amp;"Arial,Dőlt"&amp;9&amp;U 4. sz. táblázat</oddHeader>
    <oddFooter>&amp;CNagykőrös Város Önkormányzat 2014. évi költségvetési rendeletének II. sz. módosítása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view="pageBreakPreview" topLeftCell="A10" zoomScaleNormal="100" zoomScaleSheetLayoutView="100" workbookViewId="0">
      <selection activeCell="D36" sqref="D36"/>
    </sheetView>
  </sheetViews>
  <sheetFormatPr defaultRowHeight="21.75" customHeight="1" x14ac:dyDescent="0.2"/>
  <cols>
    <col min="1" max="1" width="47" style="20" customWidth="1"/>
    <col min="2" max="5" width="11" customWidth="1"/>
  </cols>
  <sheetData>
    <row r="1" spans="1:5" ht="63" customHeight="1" x14ac:dyDescent="0.25">
      <c r="A1" s="1823" t="s">
        <v>111</v>
      </c>
      <c r="B1" s="1821" t="s">
        <v>343</v>
      </c>
      <c r="C1" s="1822"/>
      <c r="D1" s="1822"/>
      <c r="E1" s="1822"/>
    </row>
    <row r="2" spans="1:5" ht="21.75" customHeight="1" x14ac:dyDescent="0.25">
      <c r="A2" s="1824"/>
      <c r="B2" s="23" t="s">
        <v>505</v>
      </c>
      <c r="C2" s="24" t="s">
        <v>335</v>
      </c>
      <c r="D2" s="24" t="s">
        <v>336</v>
      </c>
      <c r="E2" s="24" t="s">
        <v>337</v>
      </c>
    </row>
    <row r="3" spans="1:5" ht="21.75" customHeight="1" x14ac:dyDescent="0.25">
      <c r="A3" s="25" t="s">
        <v>327</v>
      </c>
      <c r="B3" s="24">
        <v>809000</v>
      </c>
      <c r="C3" s="24">
        <v>817000</v>
      </c>
      <c r="D3" s="24">
        <v>825000</v>
      </c>
      <c r="E3" s="24">
        <v>833000</v>
      </c>
    </row>
    <row r="4" spans="1:5" ht="19.5" customHeight="1" x14ac:dyDescent="0.25">
      <c r="A4" s="25" t="s">
        <v>328</v>
      </c>
      <c r="B4" s="24">
        <v>71780</v>
      </c>
      <c r="C4" s="24">
        <v>71780</v>
      </c>
      <c r="D4" s="24">
        <v>71780</v>
      </c>
      <c r="E4" s="24">
        <v>71780</v>
      </c>
    </row>
    <row r="5" spans="1:5" ht="18.75" customHeight="1" x14ac:dyDescent="0.25">
      <c r="A5" s="25" t="s">
        <v>329</v>
      </c>
      <c r="B5" s="24"/>
      <c r="C5" s="24"/>
      <c r="D5" s="24"/>
      <c r="E5" s="24"/>
    </row>
    <row r="6" spans="1:5" ht="29.25" customHeight="1" x14ac:dyDescent="0.25">
      <c r="A6" s="25" t="s">
        <v>330</v>
      </c>
      <c r="B6" s="26" t="s">
        <v>99</v>
      </c>
      <c r="C6" s="26" t="s">
        <v>99</v>
      </c>
      <c r="D6" s="26" t="s">
        <v>99</v>
      </c>
      <c r="E6" s="26">
        <v>0</v>
      </c>
    </row>
    <row r="7" spans="1:5" ht="18.75" customHeight="1" x14ac:dyDescent="0.25">
      <c r="A7" s="25" t="s">
        <v>331</v>
      </c>
      <c r="B7" s="24"/>
      <c r="C7" s="24"/>
      <c r="D7" s="24"/>
      <c r="E7" s="24"/>
    </row>
    <row r="8" spans="1:5" ht="30.75" customHeight="1" x14ac:dyDescent="0.25">
      <c r="A8" s="25" t="s">
        <v>332</v>
      </c>
      <c r="B8" s="24"/>
      <c r="C8" s="24"/>
      <c r="D8" s="24"/>
      <c r="E8" s="24"/>
    </row>
    <row r="9" spans="1:5" ht="21.75" customHeight="1" thickBot="1" x14ac:dyDescent="0.3">
      <c r="A9" s="66" t="s">
        <v>333</v>
      </c>
      <c r="B9" s="27">
        <v>20000</v>
      </c>
      <c r="C9" s="27">
        <v>20000</v>
      </c>
      <c r="D9" s="27">
        <v>20000</v>
      </c>
      <c r="E9" s="27">
        <v>400000</v>
      </c>
    </row>
    <row r="10" spans="1:5" ht="21.75" customHeight="1" thickBot="1" x14ac:dyDescent="0.3">
      <c r="A10" s="67" t="s">
        <v>342</v>
      </c>
      <c r="B10" s="47">
        <f>SUM(B3:B9)</f>
        <v>900780</v>
      </c>
      <c r="C10" s="47">
        <f>SUM(C3:C9)</f>
        <v>908780</v>
      </c>
      <c r="D10" s="47">
        <f>SUM(D3:D9)</f>
        <v>916780</v>
      </c>
      <c r="E10" s="47">
        <f>SUM(E3:E9)</f>
        <v>1304780</v>
      </c>
    </row>
    <row r="11" spans="1:5" ht="32.25" customHeight="1" thickBot="1" x14ac:dyDescent="0.3">
      <c r="A11" s="69" t="s">
        <v>345</v>
      </c>
      <c r="B11" s="46">
        <f>SUM(B12:B18)</f>
        <v>20000</v>
      </c>
      <c r="C11" s="46">
        <f>SUM(C12:C18)</f>
        <v>20000</v>
      </c>
      <c r="D11" s="46">
        <f>SUM(D12:D18)</f>
        <v>20000</v>
      </c>
      <c r="E11" s="46">
        <f>SUM(E12:E18)</f>
        <v>400000</v>
      </c>
    </row>
    <row r="12" spans="1:5" ht="18" customHeight="1" x14ac:dyDescent="0.25">
      <c r="A12" s="68" t="s">
        <v>346</v>
      </c>
      <c r="B12" s="22" t="s">
        <v>99</v>
      </c>
      <c r="C12" s="22" t="s">
        <v>99</v>
      </c>
      <c r="D12" s="22" t="s">
        <v>99</v>
      </c>
      <c r="E12" s="22" t="s">
        <v>99</v>
      </c>
    </row>
    <row r="13" spans="1:5" ht="18" customHeight="1" x14ac:dyDescent="0.25">
      <c r="A13" s="25" t="s">
        <v>347</v>
      </c>
      <c r="B13" s="24"/>
      <c r="C13" s="24"/>
      <c r="D13" s="24"/>
      <c r="E13" s="24"/>
    </row>
    <row r="14" spans="1:5" ht="18" customHeight="1" x14ac:dyDescent="0.25">
      <c r="A14" s="25" t="s">
        <v>348</v>
      </c>
      <c r="B14" s="24"/>
      <c r="C14" s="24"/>
      <c r="D14" s="24"/>
      <c r="E14" s="24"/>
    </row>
    <row r="15" spans="1:5" ht="18" customHeight="1" x14ac:dyDescent="0.25">
      <c r="A15" s="25" t="s">
        <v>349</v>
      </c>
      <c r="B15" s="24"/>
      <c r="C15" s="24"/>
      <c r="D15" s="24"/>
      <c r="E15" s="24"/>
    </row>
    <row r="16" spans="1:5" ht="18" customHeight="1" x14ac:dyDescent="0.25">
      <c r="A16" s="25" t="s">
        <v>350</v>
      </c>
      <c r="B16" s="24"/>
      <c r="C16" s="24"/>
      <c r="D16" s="24"/>
      <c r="E16" s="24"/>
    </row>
    <row r="17" spans="1:5" ht="18" customHeight="1" x14ac:dyDescent="0.25">
      <c r="A17" s="25" t="s">
        <v>351</v>
      </c>
      <c r="B17" s="24"/>
      <c r="C17" s="24"/>
      <c r="D17" s="24"/>
      <c r="E17" s="24"/>
    </row>
    <row r="18" spans="1:5" ht="18" customHeight="1" x14ac:dyDescent="0.25">
      <c r="A18" s="71" t="s">
        <v>352</v>
      </c>
      <c r="B18" s="24">
        <v>20000</v>
      </c>
      <c r="C18" s="24">
        <v>20000</v>
      </c>
      <c r="D18" s="24">
        <v>20000</v>
      </c>
      <c r="E18" s="24">
        <v>400000</v>
      </c>
    </row>
    <row r="19" spans="1:5" ht="15.75" customHeight="1" x14ac:dyDescent="0.25">
      <c r="A19" s="70"/>
      <c r="B19" s="27"/>
      <c r="C19" s="27"/>
      <c r="D19" s="27"/>
      <c r="E19" s="27"/>
    </row>
    <row r="20" spans="1:5" ht="63" customHeight="1" x14ac:dyDescent="0.25">
      <c r="A20" s="1825" t="s">
        <v>111</v>
      </c>
      <c r="B20" s="1827" t="s">
        <v>343</v>
      </c>
      <c r="C20" s="1828"/>
      <c r="D20" s="1828"/>
      <c r="E20" s="1829"/>
    </row>
    <row r="21" spans="1:5" ht="21.75" customHeight="1" thickBot="1" x14ac:dyDescent="0.3">
      <c r="A21" s="1826"/>
      <c r="B21" s="23" t="s">
        <v>505</v>
      </c>
      <c r="C21" s="24" t="s">
        <v>335</v>
      </c>
      <c r="D21" s="24" t="s">
        <v>336</v>
      </c>
      <c r="E21" s="24" t="s">
        <v>337</v>
      </c>
    </row>
    <row r="22" spans="1:5" ht="28.5" customHeight="1" thickBot="1" x14ac:dyDescent="0.3">
      <c r="A22" s="69" t="s">
        <v>353</v>
      </c>
      <c r="B22" s="46">
        <v>0</v>
      </c>
      <c r="C22" s="46">
        <f>SUM(C23:C29)</f>
        <v>26000</v>
      </c>
      <c r="D22" s="46">
        <f>SUM(D23:D29)</f>
        <v>26000</v>
      </c>
      <c r="E22" s="46">
        <f>SUM(E23:E29)</f>
        <v>26000</v>
      </c>
    </row>
    <row r="23" spans="1:5" ht="21.75" customHeight="1" x14ac:dyDescent="0.25">
      <c r="A23" s="68" t="s">
        <v>346</v>
      </c>
      <c r="B23" s="22">
        <v>0</v>
      </c>
      <c r="C23" s="22">
        <v>26000</v>
      </c>
      <c r="D23" s="22">
        <v>26000</v>
      </c>
      <c r="E23" s="22">
        <v>26000</v>
      </c>
    </row>
    <row r="24" spans="1:5" ht="17.25" customHeight="1" x14ac:dyDescent="0.25">
      <c r="A24" s="25" t="s">
        <v>347</v>
      </c>
      <c r="B24" s="24"/>
      <c r="C24" s="24"/>
      <c r="D24" s="24"/>
      <c r="E24" s="24"/>
    </row>
    <row r="25" spans="1:5" ht="17.25" customHeight="1" x14ac:dyDescent="0.25">
      <c r="A25" s="25" t="s">
        <v>348</v>
      </c>
      <c r="B25" s="24"/>
      <c r="C25" s="24"/>
      <c r="D25" s="24"/>
      <c r="E25" s="24"/>
    </row>
    <row r="26" spans="1:5" ht="17.25" customHeight="1" x14ac:dyDescent="0.25">
      <c r="A26" s="25" t="s">
        <v>349</v>
      </c>
      <c r="B26" s="24"/>
      <c r="C26" s="24"/>
      <c r="D26" s="24"/>
      <c r="E26" s="24"/>
    </row>
    <row r="27" spans="1:5" ht="17.25" customHeight="1" x14ac:dyDescent="0.25">
      <c r="A27" s="25" t="s">
        <v>350</v>
      </c>
      <c r="B27" s="24"/>
      <c r="C27" s="24"/>
      <c r="D27" s="24"/>
      <c r="E27" s="24"/>
    </row>
    <row r="28" spans="1:5" ht="17.25" customHeight="1" x14ac:dyDescent="0.25">
      <c r="A28" s="25" t="s">
        <v>351</v>
      </c>
      <c r="B28" s="24"/>
      <c r="C28" s="24"/>
      <c r="D28" s="24"/>
      <c r="E28" s="24"/>
    </row>
    <row r="29" spans="1:5" ht="17.25" customHeight="1" thickBot="1" x14ac:dyDescent="0.3">
      <c r="A29" s="66" t="s">
        <v>352</v>
      </c>
      <c r="B29" s="27"/>
      <c r="C29" s="27"/>
      <c r="D29" s="27"/>
      <c r="E29" s="27"/>
    </row>
    <row r="30" spans="1:5" ht="21.75" customHeight="1" thickBot="1" x14ac:dyDescent="0.3">
      <c r="A30" s="69" t="s">
        <v>354</v>
      </c>
      <c r="B30" s="47">
        <f>B11+B22</f>
        <v>20000</v>
      </c>
      <c r="C30" s="47">
        <f>C11+C22</f>
        <v>46000</v>
      </c>
      <c r="D30" s="47">
        <f>D11+D22</f>
        <v>46000</v>
      </c>
      <c r="E30" s="47">
        <f>E11+E22</f>
        <v>426000</v>
      </c>
    </row>
  </sheetData>
  <mergeCells count="4">
    <mergeCell ref="B1:E1"/>
    <mergeCell ref="A1:A2"/>
    <mergeCell ref="A20:A21"/>
    <mergeCell ref="B20:E20"/>
  </mergeCells>
  <pageMargins left="0.7" right="0.7" top="0.75" bottom="0.75" header="0.3" footer="0.3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B40"/>
  <sheetViews>
    <sheetView view="pageLayout" topLeftCell="A2" zoomScaleNormal="100" zoomScaleSheetLayoutView="70" workbookViewId="0">
      <selection activeCell="Y14" sqref="Y14"/>
    </sheetView>
  </sheetViews>
  <sheetFormatPr defaultColWidth="11.7109375" defaultRowHeight="15.75" x14ac:dyDescent="0.25"/>
  <cols>
    <col min="1" max="1" width="52.28515625" style="45" customWidth="1"/>
    <col min="2" max="2" width="15.7109375" style="42" customWidth="1"/>
    <col min="3" max="3" width="17.140625" style="42" hidden="1" customWidth="1"/>
    <col min="4" max="7" width="15.7109375" style="42" hidden="1" customWidth="1"/>
    <col min="8" max="13" width="15.7109375" style="42" customWidth="1"/>
    <col min="14" max="14" width="43.42578125" style="32" customWidth="1"/>
    <col min="15" max="15" width="15.7109375" style="32" customWidth="1"/>
    <col min="16" max="16" width="16.7109375" style="32" hidden="1" customWidth="1"/>
    <col min="17" max="20" width="15.7109375" style="32" hidden="1" customWidth="1"/>
    <col min="21" max="26" width="15.7109375" style="32" customWidth="1"/>
    <col min="27" max="28" width="17.28515625" style="32" bestFit="1" customWidth="1"/>
    <col min="29" max="16384" width="11.7109375" style="32"/>
  </cols>
  <sheetData>
    <row r="1" spans="1:28" ht="28.5" hidden="1" customHeight="1" x14ac:dyDescent="0.25">
      <c r="A1" s="1575" t="s">
        <v>203</v>
      </c>
      <c r="B1" s="1575"/>
      <c r="C1" s="1575"/>
      <c r="D1" s="1575"/>
      <c r="E1" s="1575"/>
      <c r="F1" s="1575"/>
      <c r="G1" s="1575"/>
      <c r="H1" s="1575"/>
      <c r="I1" s="1575"/>
      <c r="J1" s="1575"/>
      <c r="K1" s="1575"/>
      <c r="L1" s="1575"/>
      <c r="M1" s="1575"/>
      <c r="N1" s="1575"/>
      <c r="O1" s="1575"/>
      <c r="P1" s="1575"/>
      <c r="Q1" s="1575"/>
      <c r="R1" s="1575"/>
      <c r="S1" s="1575"/>
      <c r="T1" s="1575"/>
      <c r="U1" s="1575"/>
      <c r="V1" s="1575"/>
      <c r="W1" s="1575"/>
      <c r="X1" s="1575"/>
      <c r="Y1" s="1575"/>
      <c r="Z1" s="48"/>
    </row>
    <row r="2" spans="1:28" ht="16.5" customHeight="1" x14ac:dyDescent="0.25">
      <c r="A2" s="600"/>
      <c r="B2" s="600"/>
      <c r="C2" s="600"/>
      <c r="D2" s="600"/>
      <c r="E2" s="1203"/>
      <c r="F2" s="1203"/>
      <c r="G2" s="1476"/>
      <c r="H2" s="1476"/>
      <c r="I2" s="1524"/>
      <c r="J2" s="1524"/>
      <c r="K2" s="600"/>
      <c r="L2" s="600"/>
      <c r="M2" s="600"/>
      <c r="N2" s="600"/>
      <c r="O2" s="600"/>
      <c r="P2" s="600"/>
      <c r="Q2" s="600"/>
      <c r="R2" s="1203"/>
      <c r="S2" s="1203"/>
      <c r="T2" s="1476"/>
      <c r="U2" s="1476"/>
      <c r="V2" s="1524"/>
      <c r="W2" s="1524"/>
      <c r="X2" s="600"/>
      <c r="Y2" s="600"/>
      <c r="Z2" s="600"/>
    </row>
    <row r="3" spans="1:28" ht="23.25" x14ac:dyDescent="0.25">
      <c r="A3" s="1576" t="s">
        <v>815</v>
      </c>
      <c r="B3" s="1577"/>
      <c r="C3" s="1577"/>
      <c r="D3" s="1577"/>
      <c r="E3" s="1577"/>
      <c r="F3" s="1577"/>
      <c r="G3" s="1577"/>
      <c r="H3" s="1577"/>
      <c r="I3" s="1577"/>
      <c r="J3" s="1577"/>
      <c r="K3" s="1577"/>
      <c r="L3" s="1577"/>
      <c r="M3" s="1577"/>
      <c r="N3" s="1577"/>
      <c r="O3" s="1577"/>
      <c r="P3" s="1577"/>
      <c r="Q3" s="1577"/>
      <c r="R3" s="1577"/>
      <c r="S3" s="1577"/>
      <c r="T3" s="1577"/>
      <c r="U3" s="1577"/>
      <c r="V3" s="1577"/>
      <c r="W3" s="1577"/>
      <c r="X3" s="1577"/>
      <c r="Y3" s="1577"/>
      <c r="Z3" s="1577"/>
      <c r="AA3" s="1577"/>
    </row>
    <row r="4" spans="1:28" ht="20.45" customHeight="1" thickBot="1" x14ac:dyDescent="0.3">
      <c r="A4" s="48"/>
      <c r="B4" s="48"/>
      <c r="C4" s="600"/>
      <c r="D4" s="600"/>
      <c r="E4" s="1203"/>
      <c r="F4" s="1203"/>
      <c r="G4" s="1476"/>
      <c r="H4" s="1476"/>
      <c r="I4" s="1524"/>
      <c r="J4" s="1524"/>
      <c r="K4" s="48"/>
      <c r="L4" s="48"/>
      <c r="M4" s="48"/>
      <c r="N4" s="48"/>
      <c r="O4" s="48"/>
      <c r="P4" s="600"/>
      <c r="Q4" s="600"/>
      <c r="R4" s="1203"/>
      <c r="S4" s="1203"/>
      <c r="T4" s="1476"/>
      <c r="U4" s="1476"/>
      <c r="V4" s="1524"/>
      <c r="W4" s="1524"/>
      <c r="X4" s="48"/>
      <c r="Y4" s="48"/>
      <c r="Z4" s="48"/>
    </row>
    <row r="5" spans="1:28" ht="65.25" customHeight="1" x14ac:dyDescent="0.25">
      <c r="A5" s="489" t="s">
        <v>44</v>
      </c>
      <c r="B5" s="490" t="s">
        <v>829</v>
      </c>
      <c r="C5" s="490" t="s">
        <v>830</v>
      </c>
      <c r="D5" s="490" t="s">
        <v>882</v>
      </c>
      <c r="E5" s="490" t="s">
        <v>879</v>
      </c>
      <c r="F5" s="490" t="s">
        <v>932</v>
      </c>
      <c r="G5" s="490" t="s">
        <v>879</v>
      </c>
      <c r="H5" s="490" t="s">
        <v>932</v>
      </c>
      <c r="I5" s="490" t="s">
        <v>879</v>
      </c>
      <c r="J5" s="490" t="s">
        <v>880</v>
      </c>
      <c r="K5" s="491" t="s">
        <v>311</v>
      </c>
      <c r="L5" s="491" t="s">
        <v>312</v>
      </c>
      <c r="M5" s="492" t="s">
        <v>308</v>
      </c>
      <c r="N5" s="491" t="s">
        <v>45</v>
      </c>
      <c r="O5" s="490" t="s">
        <v>829</v>
      </c>
      <c r="P5" s="490" t="s">
        <v>830</v>
      </c>
      <c r="Q5" s="490" t="s">
        <v>882</v>
      </c>
      <c r="R5" s="490" t="s">
        <v>879</v>
      </c>
      <c r="S5" s="490" t="s">
        <v>932</v>
      </c>
      <c r="T5" s="490" t="s">
        <v>879</v>
      </c>
      <c r="U5" s="490" t="s">
        <v>932</v>
      </c>
      <c r="V5" s="490" t="s">
        <v>879</v>
      </c>
      <c r="W5" s="490" t="s">
        <v>880</v>
      </c>
      <c r="X5" s="491" t="s">
        <v>831</v>
      </c>
      <c r="Y5" s="491" t="s">
        <v>312</v>
      </c>
      <c r="Z5" s="493" t="s">
        <v>308</v>
      </c>
    </row>
    <row r="6" spans="1:28" s="33" customFormat="1" ht="47.1" customHeight="1" x14ac:dyDescent="0.2">
      <c r="A6" s="469" t="s">
        <v>46</v>
      </c>
      <c r="B6" s="613">
        <f t="shared" ref="B6:M6" si="0">SUM(B7:B11)</f>
        <v>2678166</v>
      </c>
      <c r="C6" s="613" t="e">
        <f t="shared" si="0"/>
        <v>#REF!</v>
      </c>
      <c r="D6" s="613">
        <f t="shared" si="0"/>
        <v>2856272</v>
      </c>
      <c r="E6" s="613">
        <f t="shared" si="0"/>
        <v>270585</v>
      </c>
      <c r="F6" s="613">
        <f t="shared" si="0"/>
        <v>3126857</v>
      </c>
      <c r="G6" s="613">
        <f t="shared" si="0"/>
        <v>53090</v>
      </c>
      <c r="H6" s="613">
        <f t="shared" si="0"/>
        <v>3179947</v>
      </c>
      <c r="I6" s="613">
        <f>SUM(I7:I11)</f>
        <v>264449</v>
      </c>
      <c r="J6" s="613">
        <f t="shared" si="0"/>
        <v>3444396</v>
      </c>
      <c r="K6" s="613">
        <f t="shared" si="0"/>
        <v>2116205</v>
      </c>
      <c r="L6" s="613">
        <f t="shared" si="0"/>
        <v>1328191</v>
      </c>
      <c r="M6" s="613">
        <f t="shared" si="0"/>
        <v>0</v>
      </c>
      <c r="N6" s="471" t="s">
        <v>47</v>
      </c>
      <c r="O6" s="613">
        <f t="shared" ref="O6:Z6" si="1">SUM(O7:O11)</f>
        <v>2695283</v>
      </c>
      <c r="P6" s="613">
        <f t="shared" si="1"/>
        <v>103480</v>
      </c>
      <c r="Q6" s="613">
        <f t="shared" si="1"/>
        <v>2871539</v>
      </c>
      <c r="R6" s="613">
        <f t="shared" si="1"/>
        <v>117132</v>
      </c>
      <c r="S6" s="613">
        <f t="shared" si="1"/>
        <v>2981753</v>
      </c>
      <c r="T6" s="613">
        <f t="shared" si="1"/>
        <v>40320</v>
      </c>
      <c r="U6" s="613">
        <f t="shared" si="1"/>
        <v>3023573</v>
      </c>
      <c r="V6" s="613">
        <f t="shared" si="1"/>
        <v>333890</v>
      </c>
      <c r="W6" s="613">
        <f t="shared" si="1"/>
        <v>3357463</v>
      </c>
      <c r="X6" s="613">
        <f t="shared" si="1"/>
        <v>3005582.5</v>
      </c>
      <c r="Y6" s="613">
        <f t="shared" si="1"/>
        <v>351880.5</v>
      </c>
      <c r="Z6" s="876">
        <f t="shared" si="1"/>
        <v>0</v>
      </c>
      <c r="AA6" s="614">
        <f>SUM(K6:M6)</f>
        <v>3444396</v>
      </c>
      <c r="AB6" s="614">
        <f>SUM(X6:Z6)</f>
        <v>3357463</v>
      </c>
    </row>
    <row r="7" spans="1:28" s="33" customFormat="1" ht="42" customHeight="1" x14ac:dyDescent="0.2">
      <c r="A7" s="472" t="s">
        <v>841</v>
      </c>
      <c r="B7" s="861">
        <f>'4'!C160+'5'!C3+'6'!C3</f>
        <v>1299158</v>
      </c>
      <c r="C7" s="861">
        <f>'4'!D160+'5'!D3+'6'!D3</f>
        <v>71487</v>
      </c>
      <c r="D7" s="861">
        <v>1442015</v>
      </c>
      <c r="E7" s="861">
        <v>198309</v>
      </c>
      <c r="F7" s="861">
        <f>SUM(D7:E7)</f>
        <v>1640324</v>
      </c>
      <c r="G7" s="861">
        <f>'4'!J160+'5'!H3+'6'!J3</f>
        <v>27746</v>
      </c>
      <c r="H7" s="861">
        <f>SUM(F7:G7)</f>
        <v>1668070</v>
      </c>
      <c r="I7" s="861">
        <f>'4'!L160+'5'!J3+'6'!L3</f>
        <v>-14983</v>
      </c>
      <c r="J7" s="861">
        <f>SUM(H7:I7)</f>
        <v>1653087</v>
      </c>
      <c r="K7" s="861">
        <f>J7-L7</f>
        <v>1570666</v>
      </c>
      <c r="L7" s="861">
        <f>'4'!O160+'5'!M3+'6'!O3</f>
        <v>82421</v>
      </c>
      <c r="M7" s="862">
        <f>'4'!P177+'5'!N3+'6'!P3</f>
        <v>0</v>
      </c>
      <c r="N7" s="473" t="s">
        <v>41</v>
      </c>
      <c r="O7" s="877">
        <f>'7'!C173+'8'!C185+'9'!C82</f>
        <v>893102</v>
      </c>
      <c r="P7" s="877">
        <f>'7'!D173+'8'!D185+'9'!D82</f>
        <v>89653</v>
      </c>
      <c r="Q7" s="877">
        <f>'7'!G173+'8'!E185+'9'!E82</f>
        <v>1027468</v>
      </c>
      <c r="R7" s="877">
        <f>'7'!H173+'8'!F185+'9'!F82</f>
        <v>42511</v>
      </c>
      <c r="S7" s="877">
        <f>SUM(Q7:R7)</f>
        <v>1069979</v>
      </c>
      <c r="T7" s="877">
        <f>'7'!J173+'8'!H185+'9'!H82</f>
        <v>13013</v>
      </c>
      <c r="U7" s="877">
        <f>SUM(S7:T7)</f>
        <v>1082992</v>
      </c>
      <c r="V7" s="877">
        <f>'7'!L173+'8'!J185+'9'!J82</f>
        <v>20783</v>
      </c>
      <c r="W7" s="877">
        <f>SUM(U7:V7)</f>
        <v>1103775</v>
      </c>
      <c r="X7" s="877">
        <f>W7-Y7</f>
        <v>1020481</v>
      </c>
      <c r="Y7" s="877">
        <f>'7'!O173+'8'!M185+'9'!M82</f>
        <v>83294</v>
      </c>
      <c r="Z7" s="878">
        <f>'7'!P173+'8'!N185+'9'!N82</f>
        <v>0</v>
      </c>
      <c r="AA7" s="614">
        <f t="shared" ref="AA7:AA25" si="2">SUM(K7:M7)</f>
        <v>1653087</v>
      </c>
      <c r="AB7" s="614">
        <f t="shared" ref="AB7:AB25" si="3">SUM(X7:Z7)</f>
        <v>1103775</v>
      </c>
    </row>
    <row r="8" spans="1:28" s="34" customFormat="1" ht="36.950000000000003" customHeight="1" x14ac:dyDescent="0.2">
      <c r="A8" s="472" t="s">
        <v>383</v>
      </c>
      <c r="B8" s="861">
        <f>'4'!C178+'5'!C83+'6'!C5</f>
        <v>866650</v>
      </c>
      <c r="C8" s="861">
        <f>'4'!D161+'5'!D83+'6'!D5</f>
        <v>800</v>
      </c>
      <c r="D8" s="861">
        <v>867350</v>
      </c>
      <c r="E8" s="861">
        <v>32000</v>
      </c>
      <c r="F8" s="861">
        <f t="shared" ref="F8:J10" si="4">SUM(D8:E8)</f>
        <v>899350</v>
      </c>
      <c r="G8" s="861">
        <f>'5'!H83</f>
        <v>5500</v>
      </c>
      <c r="H8" s="861">
        <f t="shared" si="4"/>
        <v>904850</v>
      </c>
      <c r="I8" s="861">
        <f>'4'!L162+'5'!J83+'6'!L5</f>
        <v>258257</v>
      </c>
      <c r="J8" s="861">
        <f t="shared" si="4"/>
        <v>1163107</v>
      </c>
      <c r="K8" s="861">
        <f t="shared" ref="K8:K10" si="5">J8-L8</f>
        <v>82358</v>
      </c>
      <c r="L8" s="861">
        <f>'5'!M83</f>
        <v>1080749</v>
      </c>
      <c r="M8" s="862">
        <f>'4'!P178+'5'!N83+'6'!P5</f>
        <v>0</v>
      </c>
      <c r="N8" s="473" t="s">
        <v>309</v>
      </c>
      <c r="O8" s="877">
        <f>'7'!C174+'8'!C186+'9'!C83</f>
        <v>256331</v>
      </c>
      <c r="P8" s="877">
        <f>'7'!D174+'8'!D186+'9'!D83</f>
        <v>20208</v>
      </c>
      <c r="Q8" s="877">
        <f>'7'!G174+'8'!E186+'9'!E83</f>
        <v>284682</v>
      </c>
      <c r="R8" s="877">
        <f>'7'!H174+'8'!F186+'9'!F83</f>
        <v>3910</v>
      </c>
      <c r="S8" s="877">
        <f t="shared" ref="S8:U10" si="6">SUM(Q8:R8)</f>
        <v>288592</v>
      </c>
      <c r="T8" s="877">
        <f>'7'!J174+'8'!H186+'9'!H83</f>
        <v>1454</v>
      </c>
      <c r="U8" s="877">
        <f t="shared" si="6"/>
        <v>290046</v>
      </c>
      <c r="V8" s="877">
        <f>'7'!L174+'8'!J186+'9'!J83</f>
        <v>2067</v>
      </c>
      <c r="W8" s="877">
        <f>SUM(U8:V8)</f>
        <v>292113</v>
      </c>
      <c r="X8" s="877">
        <f t="shared" ref="X8:X11" si="7">W8-Y8</f>
        <v>268210</v>
      </c>
      <c r="Y8" s="877">
        <f>'7'!O174+'8'!M186+'9'!M83</f>
        <v>23903</v>
      </c>
      <c r="Z8" s="878">
        <f>'7'!P174+'8'!N186+'9'!N83</f>
        <v>0</v>
      </c>
      <c r="AA8" s="614">
        <f t="shared" si="2"/>
        <v>1163107</v>
      </c>
      <c r="AB8" s="614">
        <f t="shared" si="3"/>
        <v>292113</v>
      </c>
    </row>
    <row r="9" spans="1:28" s="34" customFormat="1" ht="36.950000000000003" customHeight="1" x14ac:dyDescent="0.2">
      <c r="A9" s="472" t="s">
        <v>48</v>
      </c>
      <c r="B9" s="861">
        <f>'4'!C163+'5'!C97+'6'!C10</f>
        <v>511758</v>
      </c>
      <c r="C9" s="861" t="e">
        <f>'4'!D163+'5'!D97+'6'!D10</f>
        <v>#REF!</v>
      </c>
      <c r="D9" s="861">
        <v>545527</v>
      </c>
      <c r="E9" s="861">
        <v>32780</v>
      </c>
      <c r="F9" s="861">
        <f t="shared" si="4"/>
        <v>578307</v>
      </c>
      <c r="G9" s="861">
        <f>'4'!J163+'5'!H97+'6'!J10</f>
        <v>19844</v>
      </c>
      <c r="H9" s="861">
        <f t="shared" si="4"/>
        <v>598151</v>
      </c>
      <c r="I9" s="861">
        <f>'4'!L163+'5'!J97+'6'!L10</f>
        <v>27966</v>
      </c>
      <c r="J9" s="861">
        <f t="shared" si="4"/>
        <v>626117</v>
      </c>
      <c r="K9" s="861">
        <f t="shared" si="5"/>
        <v>462531</v>
      </c>
      <c r="L9" s="861">
        <f>'4'!O163+'5'!M97+'6'!O10</f>
        <v>163586</v>
      </c>
      <c r="M9" s="862">
        <f>'4'!P163+'5'!N97+'6'!P10</f>
        <v>0</v>
      </c>
      <c r="N9" s="473" t="s">
        <v>133</v>
      </c>
      <c r="O9" s="877">
        <f>'7'!C175+'8'!C187+'9'!C84</f>
        <v>880050</v>
      </c>
      <c r="P9" s="877">
        <f>'7'!D175+'8'!D187+'9'!D84</f>
        <v>60669</v>
      </c>
      <c r="Q9" s="877">
        <f>'7'!G175+'8'!E187+'9'!E84</f>
        <v>986370</v>
      </c>
      <c r="R9" s="877">
        <f>'7'!H175+'8'!F187+'9'!F84</f>
        <v>43263</v>
      </c>
      <c r="S9" s="877">
        <f t="shared" si="6"/>
        <v>1029633</v>
      </c>
      <c r="T9" s="877">
        <f>'7'!J175+'8'!H187+'9'!H84+5000</f>
        <v>43081</v>
      </c>
      <c r="U9" s="877">
        <f t="shared" si="6"/>
        <v>1072714</v>
      </c>
      <c r="V9" s="877">
        <f>'7'!L175+'8'!J187+'9'!J84</f>
        <v>84406</v>
      </c>
      <c r="W9" s="877">
        <f>SUM(U9:V9)</f>
        <v>1157120</v>
      </c>
      <c r="X9" s="877">
        <f t="shared" si="7"/>
        <v>1037607.5</v>
      </c>
      <c r="Y9" s="877">
        <f>'7'!O175+'8'!M187+'9'!M84</f>
        <v>119512.5</v>
      </c>
      <c r="Z9" s="878">
        <f>'7'!P175+'8'!N187+'9'!N84</f>
        <v>0</v>
      </c>
      <c r="AA9" s="614">
        <f t="shared" si="2"/>
        <v>626117</v>
      </c>
      <c r="AB9" s="614">
        <f t="shared" si="3"/>
        <v>1157120</v>
      </c>
    </row>
    <row r="10" spans="1:28" s="33" customFormat="1" ht="36.950000000000003" customHeight="1" x14ac:dyDescent="0.2">
      <c r="A10" s="472" t="s">
        <v>385</v>
      </c>
      <c r="B10" s="861">
        <f>'4'!C165+'5'!C139+'6'!C22</f>
        <v>600</v>
      </c>
      <c r="C10" s="861">
        <f>'4'!D165+'5'!D139+'6'!D22</f>
        <v>5920</v>
      </c>
      <c r="D10" s="861">
        <v>1380</v>
      </c>
      <c r="E10" s="861">
        <v>7496</v>
      </c>
      <c r="F10" s="861">
        <f t="shared" si="4"/>
        <v>8876</v>
      </c>
      <c r="G10" s="861">
        <f>'4'!J165+'5'!H132+'6'!J22</f>
        <v>0</v>
      </c>
      <c r="H10" s="861">
        <f t="shared" si="4"/>
        <v>8876</v>
      </c>
      <c r="I10" s="861">
        <f>'4'!L165+'5'!J139+'6'!L22</f>
        <v>-6791</v>
      </c>
      <c r="J10" s="861">
        <f t="shared" si="4"/>
        <v>2085</v>
      </c>
      <c r="K10" s="861">
        <f t="shared" si="5"/>
        <v>650</v>
      </c>
      <c r="L10" s="861">
        <f>'4'!O165+'5'!M139+'6'!O22</f>
        <v>1435</v>
      </c>
      <c r="M10" s="862">
        <f>'4'!P165+'5'!N139+'6'!P22</f>
        <v>0</v>
      </c>
      <c r="N10" s="473" t="s">
        <v>43</v>
      </c>
      <c r="O10" s="877">
        <f>'7'!C176+'8'!C188+'9'!C85</f>
        <v>433600</v>
      </c>
      <c r="P10" s="877">
        <f>'7'!D176+'8'!D188+'9'!D85</f>
        <v>0</v>
      </c>
      <c r="Q10" s="877">
        <f>'7'!G176+'8'!E188+'9'!E85</f>
        <v>433700</v>
      </c>
      <c r="R10" s="877">
        <f>'7'!H176+'8'!F188+'9'!F85</f>
        <v>8093</v>
      </c>
      <c r="S10" s="877">
        <f t="shared" si="6"/>
        <v>441793</v>
      </c>
      <c r="T10" s="877">
        <f>'8'!H188</f>
        <v>12383</v>
      </c>
      <c r="U10" s="877">
        <f t="shared" si="6"/>
        <v>454176</v>
      </c>
      <c r="V10" s="877">
        <f>'7'!L176+'8'!J188+'9'!J85</f>
        <v>-20000</v>
      </c>
      <c r="W10" s="877">
        <f t="shared" ref="W10:W11" si="8">SUM(U10:V10)</f>
        <v>434176</v>
      </c>
      <c r="X10" s="877">
        <f t="shared" si="7"/>
        <v>361988</v>
      </c>
      <c r="Y10" s="877">
        <f>'7'!O176+'8'!M188+'9'!M85</f>
        <v>72188</v>
      </c>
      <c r="Z10" s="878">
        <f>'7'!P176+'8'!N188+'9'!N85</f>
        <v>0</v>
      </c>
      <c r="AA10" s="614">
        <f t="shared" si="2"/>
        <v>2085</v>
      </c>
      <c r="AB10" s="614">
        <f t="shared" si="3"/>
        <v>434176</v>
      </c>
    </row>
    <row r="11" spans="1:28" s="35" customFormat="1" ht="36.950000000000003" customHeight="1" x14ac:dyDescent="0.2">
      <c r="A11" s="474"/>
      <c r="B11" s="861" t="s">
        <v>99</v>
      </c>
      <c r="C11" s="861"/>
      <c r="D11" s="861"/>
      <c r="E11" s="861"/>
      <c r="F11" s="861"/>
      <c r="G11" s="861"/>
      <c r="H11" s="861"/>
      <c r="I11" s="861"/>
      <c r="J11" s="861"/>
      <c r="K11" s="861">
        <v>0</v>
      </c>
      <c r="L11" s="861">
        <v>0</v>
      </c>
      <c r="M11" s="862" t="s">
        <v>99</v>
      </c>
      <c r="N11" s="473" t="s">
        <v>368</v>
      </c>
      <c r="O11" s="877">
        <f>'7'!C177+'8'!C189+'9'!C86</f>
        <v>232200</v>
      </c>
      <c r="P11" s="877">
        <f>'7'!D177+'8'!D189+'9'!D86</f>
        <v>-67050</v>
      </c>
      <c r="Q11" s="877">
        <f>'7'!G177+'8'!E189+'9'!E86</f>
        <v>139319</v>
      </c>
      <c r="R11" s="877">
        <f>'7'!H177+'8'!F189+'9'!F86</f>
        <v>19355</v>
      </c>
      <c r="S11" s="877">
        <v>151756</v>
      </c>
      <c r="T11" s="877">
        <f>'7'!J177+'8'!H189+'9'!H86</f>
        <v>-29611</v>
      </c>
      <c r="U11" s="877">
        <v>123645</v>
      </c>
      <c r="V11" s="877">
        <f>'7'!L177+'8'!J189+'9'!J86</f>
        <v>246634</v>
      </c>
      <c r="W11" s="877">
        <f t="shared" si="8"/>
        <v>370279</v>
      </c>
      <c r="X11" s="877">
        <f t="shared" si="7"/>
        <v>317296</v>
      </c>
      <c r="Y11" s="877">
        <f>'7'!O177+'8'!M189+'9'!M86</f>
        <v>52983</v>
      </c>
      <c r="Z11" s="878">
        <f>'7'!P177+'8'!N189+'9'!N86</f>
        <v>0</v>
      </c>
      <c r="AA11" s="614">
        <f t="shared" si="2"/>
        <v>0</v>
      </c>
      <c r="AB11" s="614">
        <f t="shared" si="3"/>
        <v>370279</v>
      </c>
    </row>
    <row r="12" spans="1:28" s="33" customFormat="1" ht="47.1" customHeight="1" x14ac:dyDescent="0.2">
      <c r="A12" s="475" t="s">
        <v>53</v>
      </c>
      <c r="B12" s="863">
        <f t="shared" ref="B12:M12" si="9">SUM(B13:B15)</f>
        <v>454456</v>
      </c>
      <c r="C12" s="863">
        <f t="shared" si="9"/>
        <v>461221</v>
      </c>
      <c r="D12" s="863">
        <f t="shared" si="9"/>
        <v>1025022</v>
      </c>
      <c r="E12" s="863">
        <f t="shared" si="9"/>
        <v>-146648</v>
      </c>
      <c r="F12" s="863">
        <f t="shared" si="9"/>
        <v>878374</v>
      </c>
      <c r="G12" s="863">
        <f t="shared" si="9"/>
        <v>0</v>
      </c>
      <c r="H12" s="863">
        <f t="shared" si="9"/>
        <v>878374</v>
      </c>
      <c r="I12" s="863">
        <f>SUM(I13:I15)</f>
        <v>10268</v>
      </c>
      <c r="J12" s="863">
        <f t="shared" si="9"/>
        <v>888642</v>
      </c>
      <c r="K12" s="863">
        <f t="shared" si="9"/>
        <v>820745</v>
      </c>
      <c r="L12" s="863">
        <f t="shared" si="9"/>
        <v>67897</v>
      </c>
      <c r="M12" s="613">
        <f t="shared" si="9"/>
        <v>0</v>
      </c>
      <c r="N12" s="476" t="s">
        <v>54</v>
      </c>
      <c r="O12" s="613">
        <f t="shared" ref="O12:Z12" si="10">SUM(O13:O15)</f>
        <v>1853884</v>
      </c>
      <c r="P12" s="613">
        <f t="shared" si="10"/>
        <v>203698</v>
      </c>
      <c r="Q12" s="613">
        <f t="shared" si="10"/>
        <v>2087312</v>
      </c>
      <c r="R12" s="613">
        <f t="shared" si="10"/>
        <v>12223</v>
      </c>
      <c r="S12" s="613">
        <f t="shared" si="10"/>
        <v>2099535</v>
      </c>
      <c r="T12" s="613">
        <f t="shared" si="10"/>
        <v>11270</v>
      </c>
      <c r="U12" s="613">
        <f t="shared" si="10"/>
        <v>2110805</v>
      </c>
      <c r="V12" s="613">
        <f t="shared" si="10"/>
        <v>-59173</v>
      </c>
      <c r="W12" s="613">
        <f t="shared" si="10"/>
        <v>2051632</v>
      </c>
      <c r="X12" s="613">
        <f t="shared" si="10"/>
        <v>1956055.75</v>
      </c>
      <c r="Y12" s="613">
        <f t="shared" si="10"/>
        <v>95576.25</v>
      </c>
      <c r="Z12" s="876">
        <f t="shared" si="10"/>
        <v>0</v>
      </c>
      <c r="AA12" s="614">
        <f t="shared" si="2"/>
        <v>888642</v>
      </c>
      <c r="AB12" s="614">
        <f t="shared" si="3"/>
        <v>2051632</v>
      </c>
    </row>
    <row r="13" spans="1:28" s="33" customFormat="1" ht="39" customHeight="1" x14ac:dyDescent="0.2">
      <c r="A13" s="472" t="s">
        <v>842</v>
      </c>
      <c r="B13" s="861">
        <v>417106</v>
      </c>
      <c r="C13" s="861">
        <f>'4'!D177+'5'!D68+'6'!D4</f>
        <v>461054</v>
      </c>
      <c r="D13" s="861">
        <v>982990</v>
      </c>
      <c r="E13" s="861">
        <v>-146848</v>
      </c>
      <c r="F13" s="861">
        <f t="shared" ref="F13:J15" si="11">SUM(D13:E13)</f>
        <v>836142</v>
      </c>
      <c r="G13" s="861">
        <f>'4'!J161+'5'!H63+'6'!J4</f>
        <v>0</v>
      </c>
      <c r="H13" s="861">
        <f t="shared" si="11"/>
        <v>836142</v>
      </c>
      <c r="I13" s="861">
        <f>'4'!L161+'5'!J69+'6'!L4</f>
        <v>2731</v>
      </c>
      <c r="J13" s="861">
        <f t="shared" si="11"/>
        <v>838873</v>
      </c>
      <c r="K13" s="861">
        <f>J13-L13</f>
        <v>813665</v>
      </c>
      <c r="L13" s="861">
        <f>'4'!O161+'5'!M69+'6'!O4</f>
        <v>25208</v>
      </c>
      <c r="M13" s="862">
        <f>'4'!P177+'5'!N68+'6'!P4</f>
        <v>0</v>
      </c>
      <c r="N13" s="473" t="s">
        <v>370</v>
      </c>
      <c r="O13" s="877">
        <f>'7'!C179+'9'!C88+'8'!C191</f>
        <v>1733104</v>
      </c>
      <c r="P13" s="877">
        <f>'7'!D179+'9'!D88+'8'!D191</f>
        <v>133383</v>
      </c>
      <c r="Q13" s="877">
        <f>'7'!G179+'9'!E88+'8'!E191</f>
        <v>1895163</v>
      </c>
      <c r="R13" s="877">
        <f>'7'!H179+'9'!F88+'8'!F191</f>
        <v>12349</v>
      </c>
      <c r="S13" s="877">
        <f t="shared" ref="S13:W15" si="12">SUM(Q13:R13)</f>
        <v>1907512</v>
      </c>
      <c r="T13" s="877">
        <f>'7'!J179+'9'!H88+'8'!H191</f>
        <v>14370</v>
      </c>
      <c r="U13" s="877">
        <f t="shared" si="12"/>
        <v>1921882</v>
      </c>
      <c r="V13" s="877">
        <f>'7'!L179+'9'!J88+'8'!J191</f>
        <v>-56965</v>
      </c>
      <c r="W13" s="877">
        <f t="shared" si="12"/>
        <v>1864917</v>
      </c>
      <c r="X13" s="877">
        <f>W13-Y13</f>
        <v>1793291</v>
      </c>
      <c r="Y13" s="877">
        <f>'7'!O179+'9'!M88+'8'!M191</f>
        <v>71626</v>
      </c>
      <c r="Z13" s="878">
        <f>'7'!P179+'9'!N88+'8'!N191</f>
        <v>0</v>
      </c>
      <c r="AA13" s="614">
        <f t="shared" si="2"/>
        <v>838873</v>
      </c>
      <c r="AB13" s="614">
        <f t="shared" si="3"/>
        <v>1864917</v>
      </c>
    </row>
    <row r="14" spans="1:28" s="33" customFormat="1" ht="36.950000000000003" customHeight="1" x14ac:dyDescent="0.2">
      <c r="A14" s="472" t="s">
        <v>384</v>
      </c>
      <c r="B14" s="861">
        <f>+'4'!C180+'5'!C128+'6'!C21</f>
        <v>0</v>
      </c>
      <c r="C14" s="861">
        <f>+'4'!D180+'5'!D128+'6'!D21</f>
        <v>167</v>
      </c>
      <c r="D14" s="861">
        <f>+'4'!G180+'5'!E128+'6'!E21</f>
        <v>4167</v>
      </c>
      <c r="E14" s="861">
        <f>+'4'!H180+'5'!F128+'6'!F21</f>
        <v>0</v>
      </c>
      <c r="F14" s="861">
        <f t="shared" si="11"/>
        <v>4167</v>
      </c>
      <c r="G14" s="861">
        <f>'4'!J180+'5'!H121+'6'!J21</f>
        <v>0</v>
      </c>
      <c r="H14" s="861">
        <f t="shared" si="11"/>
        <v>4167</v>
      </c>
      <c r="I14" s="861">
        <f>'4'!L164+'5'!J128+'6'!L21</f>
        <v>6913</v>
      </c>
      <c r="J14" s="861">
        <f t="shared" si="11"/>
        <v>11080</v>
      </c>
      <c r="K14" s="861">
        <f t="shared" ref="K14:K15" si="13">J14-L14</f>
        <v>7080</v>
      </c>
      <c r="L14" s="861">
        <f>'4'!O164+'6'!O21+'5'!M128</f>
        <v>4000</v>
      </c>
      <c r="M14" s="862">
        <f>+'4'!P180+'5'!N128+'6'!P21</f>
        <v>0</v>
      </c>
      <c r="N14" s="473" t="s">
        <v>55</v>
      </c>
      <c r="O14" s="877">
        <f>'7'!C180+'9'!C89+'8'!C192</f>
        <v>93480</v>
      </c>
      <c r="P14" s="877">
        <f>'7'!D180+'9'!D89+'8'!D192</f>
        <v>83755</v>
      </c>
      <c r="Q14" s="877">
        <f>'7'!G180+'9'!E89+'8'!E192</f>
        <v>178289</v>
      </c>
      <c r="R14" s="877">
        <f>'7'!H180+'9'!F89+'8'!F192</f>
        <v>-126</v>
      </c>
      <c r="S14" s="877">
        <f t="shared" si="12"/>
        <v>178163</v>
      </c>
      <c r="T14" s="877">
        <f>'7'!J180+'9'!H89+'8'!H192</f>
        <v>-3100</v>
      </c>
      <c r="U14" s="877">
        <f t="shared" si="12"/>
        <v>175063</v>
      </c>
      <c r="V14" s="877">
        <f>'7'!L180+'9'!J89+'8'!J192</f>
        <v>-2208</v>
      </c>
      <c r="W14" s="877">
        <f t="shared" si="12"/>
        <v>172855</v>
      </c>
      <c r="X14" s="877">
        <f t="shared" ref="X14:X15" si="14">W14-Y14</f>
        <v>162764.75</v>
      </c>
      <c r="Y14" s="877">
        <f>'7'!O180+'9'!M89+'8'!M192</f>
        <v>10090.25</v>
      </c>
      <c r="Z14" s="878">
        <f>'7'!P180+'9'!N89+'8'!N192</f>
        <v>0</v>
      </c>
      <c r="AA14" s="614">
        <f t="shared" si="2"/>
        <v>11080</v>
      </c>
      <c r="AB14" s="614">
        <f t="shared" si="3"/>
        <v>172855</v>
      </c>
    </row>
    <row r="15" spans="1:28" s="33" customFormat="1" ht="36.950000000000003" customHeight="1" x14ac:dyDescent="0.2">
      <c r="A15" s="472" t="s">
        <v>386</v>
      </c>
      <c r="B15" s="861">
        <f>'4'!C182+'5'!C144+'6'!C23</f>
        <v>37350</v>
      </c>
      <c r="C15" s="861">
        <f>'4'!D182+'5'!D144+'6'!D23</f>
        <v>0</v>
      </c>
      <c r="D15" s="861">
        <v>37865</v>
      </c>
      <c r="E15" s="861">
        <v>200</v>
      </c>
      <c r="F15" s="861">
        <f t="shared" si="11"/>
        <v>38065</v>
      </c>
      <c r="G15" s="861">
        <f>'4'!J182+'5'!H136+'6'!J23</f>
        <v>0</v>
      </c>
      <c r="H15" s="861">
        <f t="shared" si="11"/>
        <v>38065</v>
      </c>
      <c r="I15" s="861">
        <f>'4'!L166+'5'!J144+'6'!L23</f>
        <v>624</v>
      </c>
      <c r="J15" s="861">
        <f t="shared" si="11"/>
        <v>38689</v>
      </c>
      <c r="K15" s="861">
        <f t="shared" si="13"/>
        <v>0</v>
      </c>
      <c r="L15" s="861">
        <f>'4'!O182+'5'!M144+'6'!O23</f>
        <v>38689</v>
      </c>
      <c r="M15" s="862">
        <f>'4'!P182+'5'!N144+'6'!P23</f>
        <v>0</v>
      </c>
      <c r="N15" s="473" t="s">
        <v>371</v>
      </c>
      <c r="O15" s="877">
        <f>'7'!C181+'9'!C90+'8'!C193</f>
        <v>27300</v>
      </c>
      <c r="P15" s="877">
        <f>'7'!D181+'9'!D90+'8'!D193</f>
        <v>-13440</v>
      </c>
      <c r="Q15" s="877">
        <f>'7'!G181+'9'!E90+'8'!E193</f>
        <v>13860</v>
      </c>
      <c r="R15" s="877">
        <f>'7'!H181+'9'!F90+'8'!F193</f>
        <v>0</v>
      </c>
      <c r="S15" s="877">
        <f t="shared" si="12"/>
        <v>13860</v>
      </c>
      <c r="T15" s="877">
        <f>'7'!J181+'9'!H90+'8'!H193</f>
        <v>0</v>
      </c>
      <c r="U15" s="877">
        <f t="shared" si="12"/>
        <v>13860</v>
      </c>
      <c r="V15" s="877">
        <f>'7'!L181+'9'!J90+'8'!J193</f>
        <v>0</v>
      </c>
      <c r="W15" s="877">
        <f t="shared" si="12"/>
        <v>13860</v>
      </c>
      <c r="X15" s="877">
        <f t="shared" si="14"/>
        <v>0</v>
      </c>
      <c r="Y15" s="877">
        <f>'7'!O181+'9'!M90+'8'!M193</f>
        <v>13860</v>
      </c>
      <c r="Z15" s="878">
        <f>'7'!P181+'9'!N90+'8'!N193</f>
        <v>0</v>
      </c>
      <c r="AA15" s="614">
        <f t="shared" si="2"/>
        <v>38689</v>
      </c>
      <c r="AB15" s="614">
        <f t="shared" si="3"/>
        <v>13860</v>
      </c>
    </row>
    <row r="16" spans="1:28" s="33" customFormat="1" ht="47.1" customHeight="1" x14ac:dyDescent="0.2">
      <c r="A16" s="475" t="s">
        <v>57</v>
      </c>
      <c r="B16" s="864">
        <f t="shared" ref="B16:M16" si="15">+B12+B6</f>
        <v>3132622</v>
      </c>
      <c r="C16" s="864" t="e">
        <f t="shared" si="15"/>
        <v>#REF!</v>
      </c>
      <c r="D16" s="864">
        <f t="shared" si="15"/>
        <v>3881294</v>
      </c>
      <c r="E16" s="864">
        <f t="shared" si="15"/>
        <v>123937</v>
      </c>
      <c r="F16" s="864">
        <f t="shared" si="15"/>
        <v>4005231</v>
      </c>
      <c r="G16" s="864">
        <f t="shared" si="15"/>
        <v>53090</v>
      </c>
      <c r="H16" s="864">
        <f t="shared" si="15"/>
        <v>4058321</v>
      </c>
      <c r="I16" s="864">
        <f t="shared" si="15"/>
        <v>274717</v>
      </c>
      <c r="J16" s="864">
        <f t="shared" si="15"/>
        <v>4333038</v>
      </c>
      <c r="K16" s="863">
        <f t="shared" si="15"/>
        <v>2936950</v>
      </c>
      <c r="L16" s="863">
        <f t="shared" si="15"/>
        <v>1396088</v>
      </c>
      <c r="M16" s="613">
        <f t="shared" si="15"/>
        <v>0</v>
      </c>
      <c r="N16" s="476" t="s">
        <v>58</v>
      </c>
      <c r="O16" s="613">
        <f t="shared" ref="O16:Z16" si="16">SUM(O12+O6)</f>
        <v>4549167</v>
      </c>
      <c r="P16" s="613">
        <f t="shared" si="16"/>
        <v>307178</v>
      </c>
      <c r="Q16" s="613">
        <f t="shared" si="16"/>
        <v>4958851</v>
      </c>
      <c r="R16" s="613">
        <f t="shared" si="16"/>
        <v>129355</v>
      </c>
      <c r="S16" s="613">
        <f t="shared" si="16"/>
        <v>5081288</v>
      </c>
      <c r="T16" s="613">
        <f t="shared" si="16"/>
        <v>51590</v>
      </c>
      <c r="U16" s="613">
        <f t="shared" si="16"/>
        <v>5134378</v>
      </c>
      <c r="V16" s="613">
        <f t="shared" si="16"/>
        <v>274717</v>
      </c>
      <c r="W16" s="613">
        <f t="shared" si="16"/>
        <v>5409095</v>
      </c>
      <c r="X16" s="613">
        <f t="shared" si="16"/>
        <v>4961638.25</v>
      </c>
      <c r="Y16" s="613">
        <f t="shared" si="16"/>
        <v>447456.75</v>
      </c>
      <c r="Z16" s="876">
        <f t="shared" si="16"/>
        <v>0</v>
      </c>
      <c r="AA16" s="614">
        <f t="shared" si="2"/>
        <v>4333038</v>
      </c>
      <c r="AB16" s="614">
        <f t="shared" si="3"/>
        <v>5409095</v>
      </c>
    </row>
    <row r="17" spans="1:28" s="36" customFormat="1" ht="36.950000000000003" customHeight="1" x14ac:dyDescent="0.2">
      <c r="A17" s="472" t="s">
        <v>448</v>
      </c>
      <c r="B17" s="865">
        <f>'4'!C168+'6'!C25+'5'!C156</f>
        <v>797200</v>
      </c>
      <c r="C17" s="865">
        <f>'4'!D168+'6'!D25+'5'!D156</f>
        <v>120566</v>
      </c>
      <c r="D17" s="865">
        <f>'4'!G168+'6'!E25+'5'!E156</f>
        <v>917766</v>
      </c>
      <c r="E17" s="865">
        <f>'4'!H168+'6'!F25+'5'!F156</f>
        <v>0</v>
      </c>
      <c r="F17" s="865">
        <f>'4'!G168+'6'!G25+'5'!G156</f>
        <v>917766</v>
      </c>
      <c r="G17" s="865">
        <f>'4'!J168+'6'!H25+'5'!H156</f>
        <v>0</v>
      </c>
      <c r="H17" s="865">
        <f>'4'!I168+'6'!I25+'5'!I156</f>
        <v>917766</v>
      </c>
      <c r="I17" s="865">
        <f>'4'!L168+'6'!L25+'5'!J156</f>
        <v>0</v>
      </c>
      <c r="J17" s="865">
        <f>'4'!K168+'6'!K25+'5'!K156</f>
        <v>917766</v>
      </c>
      <c r="K17" s="861">
        <f>J17-L17</f>
        <v>892146.75</v>
      </c>
      <c r="L17" s="865">
        <f>'4'!O168+'6'!O25+'5'!M156</f>
        <v>25619.25</v>
      </c>
      <c r="M17" s="866">
        <f>'4'!P168+'6'!P25+'5'!N156</f>
        <v>0</v>
      </c>
      <c r="N17" s="473" t="s">
        <v>139</v>
      </c>
      <c r="O17" s="870">
        <f>'7'!C183</f>
        <v>0</v>
      </c>
      <c r="P17" s="870">
        <f>'7'!D183+'8'!D195</f>
        <v>461054</v>
      </c>
      <c r="Q17" s="1458">
        <v>1255795</v>
      </c>
      <c r="R17" s="1458">
        <v>880000</v>
      </c>
      <c r="S17" s="877">
        <f>SUM(Q17:R17)</f>
        <v>2135795</v>
      </c>
      <c r="T17" s="1458"/>
      <c r="U17" s="877">
        <f>SUM(S17:T17)</f>
        <v>2135795</v>
      </c>
      <c r="V17" s="877"/>
      <c r="W17" s="877">
        <f>SUM(U17:V17)</f>
        <v>2135795</v>
      </c>
      <c r="X17" s="877">
        <f>W17-Y17</f>
        <v>2135795</v>
      </c>
      <c r="Y17" s="870">
        <f>'7'!O183</f>
        <v>0</v>
      </c>
      <c r="Z17" s="879">
        <f>'7'!P183</f>
        <v>0</v>
      </c>
      <c r="AA17" s="614">
        <f t="shared" si="2"/>
        <v>917766</v>
      </c>
      <c r="AB17" s="614">
        <f>SUM(X17:Z17)</f>
        <v>2135795</v>
      </c>
    </row>
    <row r="18" spans="1:28" s="78" customFormat="1" ht="36.950000000000003" customHeight="1" x14ac:dyDescent="0.2">
      <c r="A18" s="477" t="s">
        <v>52</v>
      </c>
      <c r="B18" s="867">
        <f>'4'!C168+'5'!C157+'6'!C26</f>
        <v>110200</v>
      </c>
      <c r="C18" s="867">
        <f>'4'!D168+'5'!D157+'6'!D26</f>
        <v>72706</v>
      </c>
      <c r="D18" s="867">
        <f>'4'!G168+'5'!E157+'6'!E26</f>
        <v>182906</v>
      </c>
      <c r="E18" s="867">
        <f>'4'!H168+'5'!F157+'6'!F26</f>
        <v>0</v>
      </c>
      <c r="F18" s="867">
        <f>'4'!G168+'5'!G157+'6'!G26</f>
        <v>182906</v>
      </c>
      <c r="G18" s="867">
        <f>'4'!J168+'5'!H157+'6'!H26</f>
        <v>0</v>
      </c>
      <c r="H18" s="867">
        <f>'4'!I168+'5'!I157+'6'!I26</f>
        <v>182906</v>
      </c>
      <c r="I18" s="867">
        <f>'4'!L168+'5'!J157+'6'!J26</f>
        <v>0</v>
      </c>
      <c r="J18" s="867">
        <f>'4'!K168+'5'!K157+'6'!K26</f>
        <v>182906</v>
      </c>
      <c r="K18" s="861">
        <f t="shared" ref="K18:K19" si="17">J18-L18</f>
        <v>165368.75</v>
      </c>
      <c r="L18" s="867">
        <f>'4'!O168+'5'!M157+'6'!O26</f>
        <v>17537.25</v>
      </c>
      <c r="M18" s="868">
        <f>'4'!P168+'5'!N157+'6'!P26</f>
        <v>0</v>
      </c>
      <c r="N18" s="615"/>
      <c r="O18" s="880"/>
      <c r="P18" s="880"/>
      <c r="Q18" s="870">
        <f>O18+P18</f>
        <v>0</v>
      </c>
      <c r="R18" s="870"/>
      <c r="S18" s="870">
        <f>Q18+R18</f>
        <v>0</v>
      </c>
      <c r="T18" s="870"/>
      <c r="U18" s="870">
        <f>S18+T18</f>
        <v>0</v>
      </c>
      <c r="V18" s="870"/>
      <c r="W18" s="870">
        <f>U18+V18</f>
        <v>0</v>
      </c>
      <c r="X18" s="880"/>
      <c r="Y18" s="880"/>
      <c r="Z18" s="881"/>
      <c r="AA18" s="614">
        <f t="shared" si="2"/>
        <v>182906</v>
      </c>
      <c r="AB18" s="614">
        <f t="shared" si="3"/>
        <v>0</v>
      </c>
    </row>
    <row r="19" spans="1:28" s="34" customFormat="1" ht="36.950000000000003" customHeight="1" x14ac:dyDescent="0.2">
      <c r="A19" s="860" t="s">
        <v>843</v>
      </c>
      <c r="B19" s="867">
        <f>'5'!C158+'6'!C27</f>
        <v>687000</v>
      </c>
      <c r="C19" s="867">
        <f>'5'!D158+'6'!D27</f>
        <v>47860</v>
      </c>
      <c r="D19" s="867">
        <f>'5'!E158+'6'!E27</f>
        <v>734860</v>
      </c>
      <c r="E19" s="867">
        <f>'5'!F158+'6'!F27</f>
        <v>0</v>
      </c>
      <c r="F19" s="867">
        <f>'5'!G158+'6'!G27</f>
        <v>734860</v>
      </c>
      <c r="G19" s="867">
        <f>'5'!H158+'6'!H27</f>
        <v>0</v>
      </c>
      <c r="H19" s="867">
        <f>'5'!I158+'6'!I27</f>
        <v>734860</v>
      </c>
      <c r="I19" s="867">
        <f>'5'!J158+'6'!J27</f>
        <v>0</v>
      </c>
      <c r="J19" s="867">
        <f>'5'!K158+'6'!K27</f>
        <v>734860</v>
      </c>
      <c r="K19" s="861">
        <f t="shared" si="17"/>
        <v>726778</v>
      </c>
      <c r="L19" s="867">
        <f>'6'!O27</f>
        <v>8082</v>
      </c>
      <c r="M19" s="868">
        <f>'5'!N158+'6'!P27</f>
        <v>0</v>
      </c>
      <c r="N19" s="616"/>
      <c r="O19" s="868"/>
      <c r="P19" s="868"/>
      <c r="Q19" s="870">
        <f>O19+P19</f>
        <v>0</v>
      </c>
      <c r="R19" s="870"/>
      <c r="S19" s="870">
        <f>Q19+R19</f>
        <v>0</v>
      </c>
      <c r="T19" s="870"/>
      <c r="U19" s="870">
        <f>S19+T19</f>
        <v>0</v>
      </c>
      <c r="V19" s="870"/>
      <c r="W19" s="870">
        <f>U19+V19</f>
        <v>0</v>
      </c>
      <c r="X19" s="868"/>
      <c r="Y19" s="868"/>
      <c r="Z19" s="882"/>
      <c r="AA19" s="614">
        <f t="shared" si="2"/>
        <v>734860</v>
      </c>
      <c r="AB19" s="614">
        <f t="shared" si="3"/>
        <v>0</v>
      </c>
    </row>
    <row r="20" spans="1:28" s="37" customFormat="1" ht="61.5" customHeight="1" x14ac:dyDescent="0.2">
      <c r="A20" s="478" t="s">
        <v>141</v>
      </c>
      <c r="B20" s="863">
        <f t="shared" ref="B20:M20" si="18">B16+B17</f>
        <v>3929822</v>
      </c>
      <c r="C20" s="863" t="e">
        <f t="shared" si="18"/>
        <v>#REF!</v>
      </c>
      <c r="D20" s="863">
        <f t="shared" si="18"/>
        <v>4799060</v>
      </c>
      <c r="E20" s="863">
        <f t="shared" si="18"/>
        <v>123937</v>
      </c>
      <c r="F20" s="863">
        <f t="shared" si="18"/>
        <v>4922997</v>
      </c>
      <c r="G20" s="863">
        <f t="shared" si="18"/>
        <v>53090</v>
      </c>
      <c r="H20" s="863">
        <f t="shared" si="18"/>
        <v>4976087</v>
      </c>
      <c r="I20" s="863">
        <f>I16+I17</f>
        <v>274717</v>
      </c>
      <c r="J20" s="863">
        <f t="shared" si="18"/>
        <v>5250804</v>
      </c>
      <c r="K20" s="863">
        <f t="shared" si="18"/>
        <v>3829096.75</v>
      </c>
      <c r="L20" s="863">
        <f t="shared" si="18"/>
        <v>1421707.25</v>
      </c>
      <c r="M20" s="613">
        <f t="shared" si="18"/>
        <v>0</v>
      </c>
      <c r="N20" s="479" t="s">
        <v>142</v>
      </c>
      <c r="O20" s="613">
        <f t="shared" ref="O20:Z20" si="19">O16+O17</f>
        <v>4549167</v>
      </c>
      <c r="P20" s="613">
        <f t="shared" si="19"/>
        <v>768232</v>
      </c>
      <c r="Q20" s="613">
        <f t="shared" si="19"/>
        <v>6214646</v>
      </c>
      <c r="R20" s="613">
        <f t="shared" si="19"/>
        <v>1009355</v>
      </c>
      <c r="S20" s="613">
        <f t="shared" si="19"/>
        <v>7217083</v>
      </c>
      <c r="T20" s="613">
        <f t="shared" si="19"/>
        <v>51590</v>
      </c>
      <c r="U20" s="613">
        <f t="shared" si="19"/>
        <v>7270173</v>
      </c>
      <c r="V20" s="613">
        <f t="shared" si="19"/>
        <v>274717</v>
      </c>
      <c r="W20" s="613">
        <f t="shared" si="19"/>
        <v>7544890</v>
      </c>
      <c r="X20" s="613">
        <f t="shared" si="19"/>
        <v>7097433.25</v>
      </c>
      <c r="Y20" s="613">
        <f t="shared" si="19"/>
        <v>447456.75</v>
      </c>
      <c r="Z20" s="876">
        <f t="shared" si="19"/>
        <v>0</v>
      </c>
      <c r="AA20" s="614">
        <f t="shared" si="2"/>
        <v>5250804</v>
      </c>
      <c r="AB20" s="614">
        <f t="shared" si="3"/>
        <v>7544890</v>
      </c>
    </row>
    <row r="21" spans="1:28" s="38" customFormat="1" ht="41.25" customHeight="1" x14ac:dyDescent="0.2">
      <c r="A21" s="480" t="s">
        <v>844</v>
      </c>
      <c r="B21" s="869">
        <f t="shared" ref="B21:M21" si="20">B22+B23</f>
        <v>619345</v>
      </c>
      <c r="C21" s="869">
        <f t="shared" si="20"/>
        <v>0</v>
      </c>
      <c r="D21" s="869">
        <f t="shared" si="20"/>
        <v>1414086</v>
      </c>
      <c r="E21" s="869">
        <f t="shared" si="20"/>
        <v>880000</v>
      </c>
      <c r="F21" s="869">
        <f t="shared" si="20"/>
        <v>2294086</v>
      </c>
      <c r="G21" s="869">
        <f t="shared" si="20"/>
        <v>0</v>
      </c>
      <c r="H21" s="869">
        <f t="shared" si="20"/>
        <v>2294086</v>
      </c>
      <c r="I21" s="869">
        <f t="shared" si="20"/>
        <v>0</v>
      </c>
      <c r="J21" s="869">
        <f t="shared" si="20"/>
        <v>2294086</v>
      </c>
      <c r="K21" s="861">
        <f>J21-L21</f>
        <v>2294086</v>
      </c>
      <c r="L21" s="869">
        <f t="shared" si="20"/>
        <v>0</v>
      </c>
      <c r="M21" s="870">
        <f t="shared" si="20"/>
        <v>0</v>
      </c>
      <c r="N21" s="481"/>
      <c r="O21" s="870">
        <v>0</v>
      </c>
      <c r="P21" s="870"/>
      <c r="Q21" s="870">
        <f>O21+P21</f>
        <v>0</v>
      </c>
      <c r="R21" s="870"/>
      <c r="S21" s="870">
        <f>Q21+R21</f>
        <v>0</v>
      </c>
      <c r="T21" s="870"/>
      <c r="U21" s="870">
        <f>S21+T21</f>
        <v>0</v>
      </c>
      <c r="V21" s="870"/>
      <c r="W21" s="870">
        <f>U21+V21</f>
        <v>0</v>
      </c>
      <c r="X21" s="870">
        <v>0</v>
      </c>
      <c r="Y21" s="870">
        <v>0</v>
      </c>
      <c r="Z21" s="879">
        <v>0</v>
      </c>
      <c r="AA21" s="614">
        <f t="shared" si="2"/>
        <v>2294086</v>
      </c>
      <c r="AB21" s="614">
        <f t="shared" si="3"/>
        <v>0</v>
      </c>
    </row>
    <row r="22" spans="1:28" s="34" customFormat="1" ht="36.950000000000003" customHeight="1" x14ac:dyDescent="0.2">
      <c r="A22" s="482" t="s">
        <v>482</v>
      </c>
      <c r="B22" s="867">
        <f>'5'!C155</f>
        <v>489345</v>
      </c>
      <c r="C22" s="867">
        <f>'5'!D155</f>
        <v>0</v>
      </c>
      <c r="D22" s="867">
        <f>'5'!E155</f>
        <v>1284086</v>
      </c>
      <c r="E22" s="867">
        <f>'5'!F155</f>
        <v>880000</v>
      </c>
      <c r="F22" s="867">
        <f>'5'!G155</f>
        <v>2164086</v>
      </c>
      <c r="G22" s="867">
        <f>'5'!H155</f>
        <v>0</v>
      </c>
      <c r="H22" s="867">
        <f>'5'!I155</f>
        <v>2164086</v>
      </c>
      <c r="I22" s="867">
        <f>'5'!J155</f>
        <v>0</v>
      </c>
      <c r="J22" s="867">
        <f>'5'!K155</f>
        <v>2164086</v>
      </c>
      <c r="K22" s="861">
        <f t="shared" ref="K22:K23" si="21">J22-L22</f>
        <v>2164086</v>
      </c>
      <c r="L22" s="867">
        <f>'5'!M155</f>
        <v>0</v>
      </c>
      <c r="M22" s="868">
        <f>'5'!N155</f>
        <v>0</v>
      </c>
      <c r="N22" s="616"/>
      <c r="O22" s="868">
        <v>0</v>
      </c>
      <c r="P22" s="868"/>
      <c r="Q22" s="870">
        <f>O22+P22</f>
        <v>0</v>
      </c>
      <c r="R22" s="870"/>
      <c r="S22" s="870">
        <f>Q22+R22</f>
        <v>0</v>
      </c>
      <c r="T22" s="870"/>
      <c r="U22" s="870">
        <f>S22+T22</f>
        <v>0</v>
      </c>
      <c r="V22" s="870"/>
      <c r="W22" s="870">
        <f>U22+V22</f>
        <v>0</v>
      </c>
      <c r="X22" s="868">
        <v>0</v>
      </c>
      <c r="Y22" s="868">
        <v>0</v>
      </c>
      <c r="Z22" s="882">
        <v>0</v>
      </c>
      <c r="AA22" s="614">
        <f t="shared" si="2"/>
        <v>2164086</v>
      </c>
      <c r="AB22" s="614">
        <f t="shared" si="3"/>
        <v>0</v>
      </c>
    </row>
    <row r="23" spans="1:28" s="34" customFormat="1" ht="43.5" customHeight="1" x14ac:dyDescent="0.2">
      <c r="A23" s="860" t="s">
        <v>845</v>
      </c>
      <c r="B23" s="867">
        <f>'5'!C154</f>
        <v>130000</v>
      </c>
      <c r="C23" s="867">
        <f>'5'!D154</f>
        <v>0</v>
      </c>
      <c r="D23" s="867">
        <f>'5'!E154</f>
        <v>130000</v>
      </c>
      <c r="E23" s="867">
        <f>'5'!F154</f>
        <v>0</v>
      </c>
      <c r="F23" s="867">
        <f>'5'!G154</f>
        <v>130000</v>
      </c>
      <c r="G23" s="867">
        <f>'5'!H154</f>
        <v>0</v>
      </c>
      <c r="H23" s="867">
        <f>'5'!I154</f>
        <v>130000</v>
      </c>
      <c r="I23" s="867">
        <f>'5'!J154</f>
        <v>0</v>
      </c>
      <c r="J23" s="867">
        <f>'5'!K154</f>
        <v>130000</v>
      </c>
      <c r="K23" s="861">
        <f t="shared" si="21"/>
        <v>130000</v>
      </c>
      <c r="L23" s="867">
        <f>'5'!M154</f>
        <v>0</v>
      </c>
      <c r="M23" s="868">
        <f>'5'!N154</f>
        <v>0</v>
      </c>
      <c r="N23" s="617"/>
      <c r="O23" s="868">
        <v>0</v>
      </c>
      <c r="P23" s="868"/>
      <c r="Q23" s="870">
        <f>O23+P23</f>
        <v>0</v>
      </c>
      <c r="R23" s="870"/>
      <c r="S23" s="870">
        <f>Q23+R23</f>
        <v>0</v>
      </c>
      <c r="T23" s="870"/>
      <c r="U23" s="870">
        <f>S23+T23</f>
        <v>0</v>
      </c>
      <c r="V23" s="870"/>
      <c r="W23" s="870">
        <f>U23+V23</f>
        <v>0</v>
      </c>
      <c r="X23" s="868">
        <v>0</v>
      </c>
      <c r="Y23" s="868">
        <v>0</v>
      </c>
      <c r="Z23" s="882">
        <v>0</v>
      </c>
      <c r="AA23" s="614">
        <f t="shared" si="2"/>
        <v>130000</v>
      </c>
      <c r="AB23" s="614">
        <f t="shared" si="3"/>
        <v>0</v>
      </c>
    </row>
    <row r="24" spans="1:28" s="33" customFormat="1" ht="47.1" customHeight="1" thickBot="1" x14ac:dyDescent="0.25">
      <c r="A24" s="483" t="s">
        <v>59</v>
      </c>
      <c r="B24" s="871">
        <f t="shared" ref="B24:M24" si="22">B20+B21</f>
        <v>4549167</v>
      </c>
      <c r="C24" s="871" t="e">
        <f t="shared" si="22"/>
        <v>#REF!</v>
      </c>
      <c r="D24" s="871">
        <f t="shared" si="22"/>
        <v>6213146</v>
      </c>
      <c r="E24" s="871">
        <f t="shared" si="22"/>
        <v>1003937</v>
      </c>
      <c r="F24" s="871">
        <f t="shared" si="22"/>
        <v>7217083</v>
      </c>
      <c r="G24" s="871">
        <f t="shared" si="22"/>
        <v>53090</v>
      </c>
      <c r="H24" s="871">
        <f t="shared" si="22"/>
        <v>7270173</v>
      </c>
      <c r="I24" s="871">
        <f>I20+I21</f>
        <v>274717</v>
      </c>
      <c r="J24" s="871">
        <f>J20+J21</f>
        <v>7544890</v>
      </c>
      <c r="K24" s="871">
        <f t="shared" si="22"/>
        <v>6123182.75</v>
      </c>
      <c r="L24" s="871">
        <f t="shared" si="22"/>
        <v>1421707.25</v>
      </c>
      <c r="M24" s="872">
        <f t="shared" si="22"/>
        <v>0</v>
      </c>
      <c r="N24" s="484" t="s">
        <v>60</v>
      </c>
      <c r="O24" s="872">
        <f t="shared" ref="O24:Z24" si="23">O20+O21</f>
        <v>4549167</v>
      </c>
      <c r="P24" s="872">
        <f t="shared" si="23"/>
        <v>768232</v>
      </c>
      <c r="Q24" s="872">
        <f t="shared" si="23"/>
        <v>6214646</v>
      </c>
      <c r="R24" s="872">
        <f t="shared" si="23"/>
        <v>1009355</v>
      </c>
      <c r="S24" s="872">
        <f t="shared" si="23"/>
        <v>7217083</v>
      </c>
      <c r="T24" s="872">
        <f t="shared" si="23"/>
        <v>51590</v>
      </c>
      <c r="U24" s="872">
        <f t="shared" si="23"/>
        <v>7270173</v>
      </c>
      <c r="V24" s="872">
        <f t="shared" si="23"/>
        <v>274717</v>
      </c>
      <c r="W24" s="872">
        <f>W20+W21</f>
        <v>7544890</v>
      </c>
      <c r="X24" s="872">
        <f t="shared" si="23"/>
        <v>7097433.25</v>
      </c>
      <c r="Y24" s="872">
        <f t="shared" si="23"/>
        <v>447456.75</v>
      </c>
      <c r="Z24" s="883">
        <f t="shared" si="23"/>
        <v>0</v>
      </c>
      <c r="AA24" s="614">
        <f t="shared" si="2"/>
        <v>7544890</v>
      </c>
      <c r="AB24" s="614">
        <f t="shared" si="3"/>
        <v>7544890</v>
      </c>
    </row>
    <row r="25" spans="1:28" s="40" customFormat="1" ht="72" customHeight="1" thickBot="1" x14ac:dyDescent="0.35">
      <c r="A25" s="618" t="s">
        <v>130</v>
      </c>
      <c r="B25" s="873">
        <f t="shared" ref="B25:I25" si="24">+B16-O16</f>
        <v>-1416545</v>
      </c>
      <c r="C25" s="873" t="e">
        <f t="shared" si="24"/>
        <v>#REF!</v>
      </c>
      <c r="D25" s="873">
        <f t="shared" si="24"/>
        <v>-1077557</v>
      </c>
      <c r="E25" s="873">
        <f t="shared" si="24"/>
        <v>-5418</v>
      </c>
      <c r="F25" s="873">
        <f t="shared" si="24"/>
        <v>-1076057</v>
      </c>
      <c r="G25" s="873">
        <f t="shared" si="24"/>
        <v>1500</v>
      </c>
      <c r="H25" s="873">
        <f t="shared" si="24"/>
        <v>-1076057</v>
      </c>
      <c r="I25" s="873">
        <f t="shared" si="24"/>
        <v>0</v>
      </c>
      <c r="J25" s="873">
        <f>+J16-Y16</f>
        <v>3885581.25</v>
      </c>
      <c r="K25" s="873">
        <f>+K16-X16</f>
        <v>-2024688.25</v>
      </c>
      <c r="L25" s="874">
        <f>+L16-Y16</f>
        <v>948631.25</v>
      </c>
      <c r="M25" s="875">
        <v>0</v>
      </c>
      <c r="N25" s="485"/>
      <c r="O25" s="619"/>
      <c r="P25" s="619"/>
      <c r="Q25" s="619"/>
      <c r="R25" s="619"/>
      <c r="S25" s="619"/>
      <c r="T25" s="619"/>
      <c r="U25" s="619"/>
      <c r="V25" s="619"/>
      <c r="W25" s="619"/>
      <c r="X25" s="619"/>
      <c r="Y25" s="619"/>
      <c r="Z25" s="619"/>
      <c r="AA25" s="614">
        <f t="shared" si="2"/>
        <v>-1076057</v>
      </c>
      <c r="AB25" s="614">
        <f t="shared" si="3"/>
        <v>0</v>
      </c>
    </row>
    <row r="26" spans="1:28" x14ac:dyDescent="0.25">
      <c r="A26" s="41"/>
      <c r="N26" s="43"/>
      <c r="X26" s="39"/>
      <c r="Z26" s="44"/>
    </row>
    <row r="27" spans="1:28" x14ac:dyDescent="0.25">
      <c r="O27" s="65"/>
      <c r="P27" s="65"/>
      <c r="Q27" s="65"/>
      <c r="R27" s="65"/>
      <c r="S27" s="65"/>
      <c r="T27" s="65"/>
      <c r="U27" s="65"/>
      <c r="V27" s="65"/>
      <c r="W27" s="65"/>
    </row>
    <row r="28" spans="1:28" x14ac:dyDescent="0.25">
      <c r="L28" s="42" t="s">
        <v>99</v>
      </c>
      <c r="Y28" s="65" t="s">
        <v>99</v>
      </c>
    </row>
    <row r="35" spans="1:13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40" spans="1:13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</sheetData>
  <protectedRanges>
    <protectedRange sqref="A27:A28" name="Tartomány35_1"/>
  </protectedRanges>
  <mergeCells count="2">
    <mergeCell ref="A1:Y1"/>
    <mergeCell ref="A3:AA3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45" orientation="landscape" r:id="rId1"/>
  <headerFooter>
    <oddHeader>&amp;L&amp;"Arial,Dőlt"&amp;14 &amp;U3. melléklet a 3/2014. (II.15.) önkormányzati rendelethez</oddHeader>
    <oddFooter>&amp;C&amp;13Nagykőrös Város Önkormányzat 2014. évi költségvetési rendeletének V. sz. módosítása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190"/>
  <sheetViews>
    <sheetView view="pageLayout" topLeftCell="A147" zoomScaleNormal="100" zoomScaleSheetLayoutView="100" workbookViewId="0">
      <selection activeCell="M163" sqref="M163"/>
    </sheetView>
  </sheetViews>
  <sheetFormatPr defaultColWidth="9.140625" defaultRowHeight="12.75" x14ac:dyDescent="0.2"/>
  <cols>
    <col min="1" max="1" width="7.140625" style="81" customWidth="1"/>
    <col min="2" max="2" width="42.7109375" style="12" customWidth="1"/>
    <col min="3" max="3" width="12.7109375" style="58" customWidth="1"/>
    <col min="4" max="4" width="12.7109375" style="1113" hidden="1" customWidth="1"/>
    <col min="5" max="5" width="12.7109375" style="58" hidden="1" customWidth="1"/>
    <col min="6" max="6" width="11.28515625" style="58" hidden="1" customWidth="1"/>
    <col min="7" max="7" width="12.7109375" style="58" hidden="1" customWidth="1"/>
    <col min="8" max="8" width="11.140625" style="58" hidden="1" customWidth="1"/>
    <col min="9" max="10" width="12.7109375" style="58" hidden="1" customWidth="1"/>
    <col min="11" max="13" width="12.7109375" style="58" customWidth="1"/>
    <col min="14" max="14" width="12.7109375" style="9" customWidth="1"/>
    <col min="15" max="15" width="11.28515625" style="9" customWidth="1"/>
    <col min="16" max="16" width="8.7109375" style="9" customWidth="1"/>
    <col min="17" max="17" width="13.28515625" style="13" customWidth="1"/>
    <col min="18" max="16384" width="9.140625" style="9"/>
  </cols>
  <sheetData>
    <row r="1" spans="1:17" s="50" customFormat="1" ht="43.5" customHeight="1" thickBot="1" x14ac:dyDescent="0.25">
      <c r="A1" s="1580" t="s">
        <v>530</v>
      </c>
      <c r="B1" s="1580"/>
      <c r="C1" s="1580"/>
      <c r="D1" s="1580"/>
      <c r="E1" s="1580"/>
      <c r="F1" s="1580"/>
      <c r="G1" s="1580"/>
      <c r="H1" s="1580"/>
      <c r="I1" s="1580"/>
      <c r="J1" s="1580"/>
      <c r="K1" s="1580"/>
      <c r="L1" s="1580"/>
      <c r="M1" s="1580"/>
      <c r="N1" s="1580"/>
      <c r="O1" s="1580"/>
      <c r="P1" s="1580"/>
      <c r="Q1" s="49"/>
    </row>
    <row r="2" spans="1:17" s="52" customFormat="1" ht="44.25" customHeight="1" thickBot="1" x14ac:dyDescent="0.25">
      <c r="A2" s="93" t="s">
        <v>137</v>
      </c>
      <c r="B2" s="1243" t="s">
        <v>138</v>
      </c>
      <c r="C2" s="612"/>
      <c r="D2" s="1114" t="s">
        <v>152</v>
      </c>
      <c r="E2" s="604" t="s">
        <v>157</v>
      </c>
      <c r="F2" s="1216" t="s">
        <v>881</v>
      </c>
      <c r="G2" s="1216" t="s">
        <v>932</v>
      </c>
      <c r="H2" s="1216" t="s">
        <v>881</v>
      </c>
      <c r="I2" s="1216" t="s">
        <v>946</v>
      </c>
      <c r="J2" s="1216" t="s">
        <v>935</v>
      </c>
      <c r="K2" s="1216" t="s">
        <v>946</v>
      </c>
      <c r="L2" s="1216" t="s">
        <v>935</v>
      </c>
      <c r="M2" s="1216" t="s">
        <v>933</v>
      </c>
      <c r="N2" s="94" t="s">
        <v>325</v>
      </c>
      <c r="O2" s="94" t="s">
        <v>892</v>
      </c>
      <c r="P2" s="95" t="s">
        <v>308</v>
      </c>
      <c r="Q2" s="51"/>
    </row>
    <row r="3" spans="1:17" s="60" customFormat="1" ht="30.95" customHeight="1" thickBot="1" x14ac:dyDescent="0.25">
      <c r="A3" s="99" t="s">
        <v>223</v>
      </c>
      <c r="B3" s="1590" t="s">
        <v>493</v>
      </c>
      <c r="C3" s="1600"/>
      <c r="D3" s="1600"/>
      <c r="E3" s="1600"/>
      <c r="F3" s="1600"/>
      <c r="G3" s="1600"/>
      <c r="H3" s="1600"/>
      <c r="I3" s="1600"/>
      <c r="J3" s="1600"/>
      <c r="K3" s="1600"/>
      <c r="L3" s="1600"/>
      <c r="M3" s="1600"/>
      <c r="N3" s="1600"/>
      <c r="O3" s="1600"/>
      <c r="P3" s="1601"/>
      <c r="Q3" s="605"/>
    </row>
    <row r="4" spans="1:17" s="11" customFormat="1" ht="18.95" customHeight="1" x14ac:dyDescent="0.2">
      <c r="A4" s="86" t="s">
        <v>375</v>
      </c>
      <c r="B4" s="87" t="s">
        <v>373</v>
      </c>
      <c r="C4" s="884">
        <v>0</v>
      </c>
      <c r="D4" s="1116">
        <f>257+280</f>
        <v>537</v>
      </c>
      <c r="E4" s="884">
        <f>C4+D4</f>
        <v>537</v>
      </c>
      <c r="F4" s="884">
        <f>257+200</f>
        <v>457</v>
      </c>
      <c r="G4" s="884">
        <f>E4+F4</f>
        <v>994</v>
      </c>
      <c r="H4" s="884"/>
      <c r="I4" s="884">
        <f t="shared" ref="I4:I14" si="0">G4+H4</f>
        <v>994</v>
      </c>
      <c r="J4" s="884">
        <v>2488</v>
      </c>
      <c r="K4" s="884">
        <f t="shared" ref="K4:M13" si="1">I4+J4</f>
        <v>3482</v>
      </c>
      <c r="L4" s="884">
        <f>4985+6941</f>
        <v>11926</v>
      </c>
      <c r="M4" s="884">
        <f t="shared" si="1"/>
        <v>15408</v>
      </c>
      <c r="N4" s="886">
        <f t="shared" ref="N4:N13" si="2">M4</f>
        <v>15408</v>
      </c>
      <c r="O4" s="884">
        <v>0</v>
      </c>
      <c r="P4" s="885">
        <v>0</v>
      </c>
      <c r="Q4" s="606">
        <f>SUM(N4:P4)</f>
        <v>15408</v>
      </c>
    </row>
    <row r="5" spans="1:17" s="11" customFormat="1" ht="18.95" customHeight="1" x14ac:dyDescent="0.2">
      <c r="A5" s="53" t="s">
        <v>376</v>
      </c>
      <c r="B5" s="54" t="s">
        <v>374</v>
      </c>
      <c r="C5" s="886">
        <v>0</v>
      </c>
      <c r="D5" s="1117">
        <f>300</f>
        <v>300</v>
      </c>
      <c r="E5" s="884">
        <f t="shared" ref="E5:E13" si="3">C5+D5</f>
        <v>300</v>
      </c>
      <c r="F5" s="884"/>
      <c r="G5" s="884">
        <f t="shared" ref="G5:G10" si="4">E5+F5</f>
        <v>300</v>
      </c>
      <c r="H5" s="884"/>
      <c r="I5" s="884">
        <f t="shared" si="0"/>
        <v>300</v>
      </c>
      <c r="J5" s="884"/>
      <c r="K5" s="884">
        <f t="shared" si="1"/>
        <v>300</v>
      </c>
      <c r="L5" s="884"/>
      <c r="M5" s="884">
        <f t="shared" si="1"/>
        <v>300</v>
      </c>
      <c r="N5" s="886">
        <f t="shared" si="2"/>
        <v>300</v>
      </c>
      <c r="O5" s="886">
        <v>0</v>
      </c>
      <c r="P5" s="887">
        <v>0</v>
      </c>
      <c r="Q5" s="606">
        <f t="shared" ref="Q5:Q14" si="5">SUM(N5:P5)</f>
        <v>300</v>
      </c>
    </row>
    <row r="6" spans="1:17" s="11" customFormat="1" ht="18.95" customHeight="1" x14ac:dyDescent="0.2">
      <c r="A6" s="53" t="s">
        <v>377</v>
      </c>
      <c r="B6" s="54" t="s">
        <v>383</v>
      </c>
      <c r="C6" s="886">
        <v>0</v>
      </c>
      <c r="D6" s="1117"/>
      <c r="E6" s="884">
        <f t="shared" si="3"/>
        <v>0</v>
      </c>
      <c r="F6" s="884"/>
      <c r="G6" s="884">
        <f t="shared" si="4"/>
        <v>0</v>
      </c>
      <c r="H6" s="884"/>
      <c r="I6" s="884">
        <f t="shared" si="0"/>
        <v>0</v>
      </c>
      <c r="J6" s="884"/>
      <c r="K6" s="884">
        <f t="shared" si="1"/>
        <v>0</v>
      </c>
      <c r="L6" s="884"/>
      <c r="M6" s="884">
        <f t="shared" si="1"/>
        <v>0</v>
      </c>
      <c r="N6" s="886">
        <f t="shared" si="2"/>
        <v>0</v>
      </c>
      <c r="O6" s="886">
        <v>0</v>
      </c>
      <c r="P6" s="887">
        <v>0</v>
      </c>
      <c r="Q6" s="606">
        <f t="shared" si="5"/>
        <v>0</v>
      </c>
    </row>
    <row r="7" spans="1:17" s="11" customFormat="1" ht="18.95" customHeight="1" x14ac:dyDescent="0.2">
      <c r="A7" s="53" t="s">
        <v>378</v>
      </c>
      <c r="B7" s="54" t="s">
        <v>48</v>
      </c>
      <c r="C7" s="886">
        <v>11960</v>
      </c>
      <c r="D7" s="1117"/>
      <c r="E7" s="884">
        <f t="shared" si="3"/>
        <v>11960</v>
      </c>
      <c r="F7" s="884"/>
      <c r="G7" s="884">
        <f t="shared" si="4"/>
        <v>11960</v>
      </c>
      <c r="H7" s="884"/>
      <c r="I7" s="884">
        <f t="shared" si="0"/>
        <v>11960</v>
      </c>
      <c r="J7" s="884"/>
      <c r="K7" s="884">
        <f t="shared" si="1"/>
        <v>11960</v>
      </c>
      <c r="L7" s="884">
        <v>1200</v>
      </c>
      <c r="M7" s="884">
        <f t="shared" si="1"/>
        <v>13160</v>
      </c>
      <c r="N7" s="886">
        <f t="shared" si="2"/>
        <v>13160</v>
      </c>
      <c r="O7" s="886">
        <v>0</v>
      </c>
      <c r="P7" s="887">
        <v>0</v>
      </c>
      <c r="Q7" s="606">
        <f t="shared" si="5"/>
        <v>13160</v>
      </c>
    </row>
    <row r="8" spans="1:17" s="11" customFormat="1" ht="18.95" customHeight="1" x14ac:dyDescent="0.2">
      <c r="A8" s="53" t="s">
        <v>379</v>
      </c>
      <c r="B8" s="54" t="s">
        <v>384</v>
      </c>
      <c r="C8" s="886">
        <v>0</v>
      </c>
      <c r="D8" s="1117"/>
      <c r="E8" s="884">
        <f t="shared" si="3"/>
        <v>0</v>
      </c>
      <c r="F8" s="884"/>
      <c r="G8" s="884">
        <f t="shared" si="4"/>
        <v>0</v>
      </c>
      <c r="H8" s="884"/>
      <c r="I8" s="884">
        <f t="shared" si="0"/>
        <v>0</v>
      </c>
      <c r="J8" s="884"/>
      <c r="K8" s="884">
        <f t="shared" si="1"/>
        <v>0</v>
      </c>
      <c r="L8" s="884"/>
      <c r="M8" s="884">
        <f t="shared" si="1"/>
        <v>0</v>
      </c>
      <c r="N8" s="886">
        <f t="shared" si="2"/>
        <v>0</v>
      </c>
      <c r="O8" s="886">
        <v>0</v>
      </c>
      <c r="P8" s="887">
        <v>0</v>
      </c>
      <c r="Q8" s="606">
        <f t="shared" si="5"/>
        <v>0</v>
      </c>
    </row>
    <row r="9" spans="1:17" s="11" customFormat="1" ht="18.95" customHeight="1" x14ac:dyDescent="0.2">
      <c r="A9" s="53" t="s">
        <v>380</v>
      </c>
      <c r="B9" s="54" t="s">
        <v>385</v>
      </c>
      <c r="C9" s="886">
        <v>0</v>
      </c>
      <c r="D9" s="1117"/>
      <c r="E9" s="884">
        <f t="shared" si="3"/>
        <v>0</v>
      </c>
      <c r="F9" s="884"/>
      <c r="G9" s="884">
        <f t="shared" si="4"/>
        <v>0</v>
      </c>
      <c r="H9" s="884">
        <v>7441</v>
      </c>
      <c r="I9" s="884">
        <f t="shared" si="0"/>
        <v>7441</v>
      </c>
      <c r="J9" s="884"/>
      <c r="K9" s="884">
        <f t="shared" si="1"/>
        <v>7441</v>
      </c>
      <c r="L9" s="884">
        <v>-6941</v>
      </c>
      <c r="M9" s="884">
        <f t="shared" si="1"/>
        <v>500</v>
      </c>
      <c r="N9" s="886">
        <f t="shared" si="2"/>
        <v>500</v>
      </c>
      <c r="O9" s="886">
        <v>0</v>
      </c>
      <c r="P9" s="887">
        <v>0</v>
      </c>
      <c r="Q9" s="606">
        <f t="shared" si="5"/>
        <v>500</v>
      </c>
    </row>
    <row r="10" spans="1:17" s="11" customFormat="1" ht="18.95" customHeight="1" x14ac:dyDescent="0.2">
      <c r="A10" s="53" t="s">
        <v>381</v>
      </c>
      <c r="B10" s="54" t="s">
        <v>386</v>
      </c>
      <c r="C10" s="886">
        <v>0</v>
      </c>
      <c r="D10" s="1117"/>
      <c r="E10" s="884">
        <f t="shared" si="3"/>
        <v>0</v>
      </c>
      <c r="F10" s="884"/>
      <c r="G10" s="884">
        <f t="shared" si="4"/>
        <v>0</v>
      </c>
      <c r="H10" s="884"/>
      <c r="I10" s="884">
        <f t="shared" si="0"/>
        <v>0</v>
      </c>
      <c r="J10" s="884"/>
      <c r="K10" s="884">
        <f t="shared" si="1"/>
        <v>0</v>
      </c>
      <c r="L10" s="884"/>
      <c r="M10" s="884">
        <f t="shared" si="1"/>
        <v>0</v>
      </c>
      <c r="N10" s="886">
        <f t="shared" si="2"/>
        <v>0</v>
      </c>
      <c r="O10" s="886">
        <v>0</v>
      </c>
      <c r="P10" s="887">
        <v>0</v>
      </c>
      <c r="Q10" s="606">
        <f t="shared" si="5"/>
        <v>0</v>
      </c>
    </row>
    <row r="11" spans="1:17" s="11" customFormat="1" ht="18.95" customHeight="1" x14ac:dyDescent="0.2">
      <c r="A11" s="53" t="s">
        <v>382</v>
      </c>
      <c r="B11" s="54" t="s">
        <v>387</v>
      </c>
      <c r="C11" s="888">
        <f>SUM(C12:C13)</f>
        <v>75073</v>
      </c>
      <c r="D11" s="1115">
        <f t="shared" ref="D11:P11" si="6">SUM(D12:D13)</f>
        <v>6332</v>
      </c>
      <c r="E11" s="1088">
        <f t="shared" si="6"/>
        <v>81405</v>
      </c>
      <c r="F11" s="1088">
        <f t="shared" si="6"/>
        <v>23147</v>
      </c>
      <c r="G11" s="1088">
        <f t="shared" si="6"/>
        <v>104552</v>
      </c>
      <c r="H11" s="886">
        <f>H12+H13</f>
        <v>198</v>
      </c>
      <c r="I11" s="884">
        <f t="shared" si="0"/>
        <v>104750</v>
      </c>
      <c r="J11" s="884">
        <f>J12+J13</f>
        <v>5121</v>
      </c>
      <c r="K11" s="884">
        <f t="shared" si="1"/>
        <v>109871</v>
      </c>
      <c r="L11" s="884">
        <f>SUM(L12:L13)</f>
        <v>99</v>
      </c>
      <c r="M11" s="884">
        <f t="shared" si="1"/>
        <v>109970</v>
      </c>
      <c r="N11" s="886">
        <f t="shared" si="2"/>
        <v>109970</v>
      </c>
      <c r="O11" s="888">
        <f t="shared" si="6"/>
        <v>0</v>
      </c>
      <c r="P11" s="889">
        <f t="shared" si="6"/>
        <v>0</v>
      </c>
      <c r="Q11" s="606">
        <f t="shared" si="5"/>
        <v>109970</v>
      </c>
    </row>
    <row r="12" spans="1:17" s="11" customFormat="1" ht="18" customHeight="1" x14ac:dyDescent="0.2">
      <c r="A12" s="28" t="s">
        <v>447</v>
      </c>
      <c r="B12" s="21" t="s">
        <v>448</v>
      </c>
      <c r="C12" s="888"/>
      <c r="D12" s="1115">
        <v>5347</v>
      </c>
      <c r="E12" s="1088">
        <v>5347</v>
      </c>
      <c r="F12" s="886"/>
      <c r="G12" s="886">
        <f>E12+F12</f>
        <v>5347</v>
      </c>
      <c r="H12" s="886"/>
      <c r="I12" s="884">
        <f t="shared" si="0"/>
        <v>5347</v>
      </c>
      <c r="J12" s="884"/>
      <c r="K12" s="884">
        <f t="shared" si="1"/>
        <v>5347</v>
      </c>
      <c r="L12" s="884"/>
      <c r="M12" s="884">
        <f t="shared" si="1"/>
        <v>5347</v>
      </c>
      <c r="N12" s="886">
        <f t="shared" si="2"/>
        <v>5347</v>
      </c>
      <c r="O12" s="888"/>
      <c r="P12" s="889"/>
      <c r="Q12" s="606">
        <f t="shared" si="5"/>
        <v>5347</v>
      </c>
    </row>
    <row r="13" spans="1:17" s="11" customFormat="1" ht="18" customHeight="1" thickBot="1" x14ac:dyDescent="0.25">
      <c r="A13" s="88" t="s">
        <v>449</v>
      </c>
      <c r="B13" s="89" t="s">
        <v>450</v>
      </c>
      <c r="C13" s="888">
        <v>75073</v>
      </c>
      <c r="D13" s="1115">
        <f>525+1500+3621-3000-1661</f>
        <v>985</v>
      </c>
      <c r="E13" s="1218">
        <f t="shared" si="3"/>
        <v>76058</v>
      </c>
      <c r="F13" s="1218">
        <f>303+918+313+1500+9777+650+8000+1686</f>
        <v>23147</v>
      </c>
      <c r="G13" s="888">
        <f>E13+F13</f>
        <v>99205</v>
      </c>
      <c r="H13" s="888">
        <v>198</v>
      </c>
      <c r="I13" s="1218">
        <f t="shared" si="0"/>
        <v>99403</v>
      </c>
      <c r="J13" s="1218">
        <f>99+1420+3602</f>
        <v>5121</v>
      </c>
      <c r="K13" s="1218">
        <f t="shared" si="1"/>
        <v>104524</v>
      </c>
      <c r="L13" s="1218">
        <v>99</v>
      </c>
      <c r="M13" s="884">
        <f t="shared" si="1"/>
        <v>104623</v>
      </c>
      <c r="N13" s="886">
        <f t="shared" si="2"/>
        <v>104623</v>
      </c>
      <c r="O13" s="888">
        <v>0</v>
      </c>
      <c r="P13" s="889">
        <v>0</v>
      </c>
      <c r="Q13" s="606">
        <f t="shared" si="5"/>
        <v>104623</v>
      </c>
    </row>
    <row r="14" spans="1:17" s="84" customFormat="1" ht="21" customHeight="1" thickBot="1" x14ac:dyDescent="0.25">
      <c r="A14" s="90"/>
      <c r="B14" s="92" t="s">
        <v>241</v>
      </c>
      <c r="C14" s="890">
        <f>SUM(C4:C11)</f>
        <v>87033</v>
      </c>
      <c r="D14" s="1118">
        <f t="shared" ref="D14:P14" si="7">SUM(D4:D11)</f>
        <v>7169</v>
      </c>
      <c r="E14" s="890">
        <f t="shared" si="7"/>
        <v>94202</v>
      </c>
      <c r="F14" s="890">
        <f t="shared" si="7"/>
        <v>23604</v>
      </c>
      <c r="G14" s="890">
        <f t="shared" si="7"/>
        <v>117806</v>
      </c>
      <c r="H14" s="890">
        <f>SUM(H4:H11)</f>
        <v>7639</v>
      </c>
      <c r="I14" s="890">
        <f t="shared" si="0"/>
        <v>125445</v>
      </c>
      <c r="J14" s="890">
        <f>SUM(J4:J11)</f>
        <v>7609</v>
      </c>
      <c r="K14" s="890">
        <f>SUM(K4:K11)</f>
        <v>133054</v>
      </c>
      <c r="L14" s="890">
        <f>SUM(L4:L11)</f>
        <v>6284</v>
      </c>
      <c r="M14" s="890">
        <f>SUM(M4:M11)</f>
        <v>139338</v>
      </c>
      <c r="N14" s="890">
        <f>SUM(N4:N11)</f>
        <v>139338</v>
      </c>
      <c r="O14" s="890">
        <f t="shared" si="7"/>
        <v>0</v>
      </c>
      <c r="P14" s="1139">
        <f t="shared" si="7"/>
        <v>0</v>
      </c>
      <c r="Q14" s="606">
        <f t="shared" si="5"/>
        <v>139338</v>
      </c>
    </row>
    <row r="15" spans="1:17" s="60" customFormat="1" ht="30.95" customHeight="1" thickBot="1" x14ac:dyDescent="0.25">
      <c r="A15" s="100" t="s">
        <v>224</v>
      </c>
      <c r="B15" s="1602" t="s">
        <v>492</v>
      </c>
      <c r="C15" s="1591"/>
      <c r="D15" s="1591"/>
      <c r="E15" s="1591"/>
      <c r="F15" s="1591"/>
      <c r="G15" s="1591"/>
      <c r="H15" s="1591"/>
      <c r="I15" s="1591"/>
      <c r="J15" s="1591"/>
      <c r="K15" s="1591"/>
      <c r="L15" s="1591"/>
      <c r="M15" s="1591"/>
      <c r="N15" s="1591"/>
      <c r="O15" s="1591"/>
      <c r="P15" s="1592"/>
      <c r="Q15" s="605"/>
    </row>
    <row r="16" spans="1:17" s="11" customFormat="1" ht="18.95" customHeight="1" x14ac:dyDescent="0.2">
      <c r="A16" s="86" t="s">
        <v>375</v>
      </c>
      <c r="B16" s="87" t="s">
        <v>373</v>
      </c>
      <c r="C16" s="884">
        <v>0</v>
      </c>
      <c r="D16" s="1116">
        <v>1045</v>
      </c>
      <c r="E16" s="884">
        <f>C16+D16</f>
        <v>1045</v>
      </c>
      <c r="F16" s="884">
        <v>2022</v>
      </c>
      <c r="G16" s="884">
        <f>E16+F16</f>
        <v>3067</v>
      </c>
      <c r="H16" s="884">
        <v>1903</v>
      </c>
      <c r="I16" s="884">
        <f t="shared" ref="I16:I26" si="8">G16+H16</f>
        <v>4970</v>
      </c>
      <c r="J16" s="884">
        <v>1070</v>
      </c>
      <c r="K16" s="884">
        <f t="shared" ref="K16:M25" si="9">I16+J16</f>
        <v>6040</v>
      </c>
      <c r="L16" s="884">
        <v>3019</v>
      </c>
      <c r="M16" s="884">
        <f t="shared" si="9"/>
        <v>9059</v>
      </c>
      <c r="N16" s="884">
        <f t="shared" ref="N16:N25" si="10">M16</f>
        <v>9059</v>
      </c>
      <c r="O16" s="884">
        <v>0</v>
      </c>
      <c r="P16" s="885">
        <v>0</v>
      </c>
      <c r="Q16" s="606">
        <f>SUM(N16:P16)</f>
        <v>9059</v>
      </c>
    </row>
    <row r="17" spans="1:17" s="11" customFormat="1" ht="18.95" customHeight="1" x14ac:dyDescent="0.2">
      <c r="A17" s="53" t="s">
        <v>376</v>
      </c>
      <c r="B17" s="54" t="s">
        <v>374</v>
      </c>
      <c r="C17" s="886">
        <v>0</v>
      </c>
      <c r="D17" s="1117"/>
      <c r="E17" s="884">
        <f t="shared" ref="E17:E22" si="11">C17+D17</f>
        <v>0</v>
      </c>
      <c r="F17" s="884"/>
      <c r="G17" s="884">
        <f t="shared" ref="G17:G22" si="12">E17+F17</f>
        <v>0</v>
      </c>
      <c r="H17" s="884"/>
      <c r="I17" s="884">
        <f t="shared" si="8"/>
        <v>0</v>
      </c>
      <c r="J17" s="884"/>
      <c r="K17" s="884">
        <f t="shared" si="9"/>
        <v>0</v>
      </c>
      <c r="L17" s="884"/>
      <c r="M17" s="884">
        <f t="shared" si="9"/>
        <v>0</v>
      </c>
      <c r="N17" s="884">
        <f t="shared" si="10"/>
        <v>0</v>
      </c>
      <c r="O17" s="886">
        <v>0</v>
      </c>
      <c r="P17" s="887">
        <v>0</v>
      </c>
      <c r="Q17" s="606">
        <f t="shared" ref="Q17:Q26" si="13">SUM(N17:P17)</f>
        <v>0</v>
      </c>
    </row>
    <row r="18" spans="1:17" s="11" customFormat="1" ht="18.95" customHeight="1" x14ac:dyDescent="0.2">
      <c r="A18" s="53" t="s">
        <v>377</v>
      </c>
      <c r="B18" s="54" t="s">
        <v>383</v>
      </c>
      <c r="C18" s="886">
        <v>0</v>
      </c>
      <c r="D18" s="1117"/>
      <c r="E18" s="884">
        <f t="shared" si="11"/>
        <v>0</v>
      </c>
      <c r="F18" s="884"/>
      <c r="G18" s="884">
        <f t="shared" si="12"/>
        <v>0</v>
      </c>
      <c r="H18" s="884"/>
      <c r="I18" s="884">
        <f t="shared" si="8"/>
        <v>0</v>
      </c>
      <c r="J18" s="884"/>
      <c r="K18" s="884">
        <f t="shared" si="9"/>
        <v>0</v>
      </c>
      <c r="L18" s="884"/>
      <c r="M18" s="884">
        <f t="shared" si="9"/>
        <v>0</v>
      </c>
      <c r="N18" s="884">
        <f t="shared" si="10"/>
        <v>0</v>
      </c>
      <c r="O18" s="886">
        <v>0</v>
      </c>
      <c r="P18" s="887">
        <v>0</v>
      </c>
      <c r="Q18" s="606">
        <f t="shared" si="13"/>
        <v>0</v>
      </c>
    </row>
    <row r="19" spans="1:17" s="11" customFormat="1" ht="18.95" customHeight="1" x14ac:dyDescent="0.2">
      <c r="A19" s="53" t="s">
        <v>378</v>
      </c>
      <c r="B19" s="54" t="s">
        <v>48</v>
      </c>
      <c r="C19" s="886">
        <v>46293</v>
      </c>
      <c r="D19" s="1117"/>
      <c r="E19" s="884">
        <f t="shared" si="11"/>
        <v>46293</v>
      </c>
      <c r="F19" s="884"/>
      <c r="G19" s="884">
        <f t="shared" si="12"/>
        <v>46293</v>
      </c>
      <c r="H19" s="884"/>
      <c r="I19" s="884">
        <f t="shared" si="8"/>
        <v>46293</v>
      </c>
      <c r="J19" s="884"/>
      <c r="K19" s="884">
        <f t="shared" si="9"/>
        <v>46293</v>
      </c>
      <c r="L19" s="884"/>
      <c r="M19" s="884">
        <f t="shared" si="9"/>
        <v>46293</v>
      </c>
      <c r="N19" s="884">
        <f t="shared" si="10"/>
        <v>46293</v>
      </c>
      <c r="O19" s="886">
        <v>0</v>
      </c>
      <c r="P19" s="887">
        <v>0</v>
      </c>
      <c r="Q19" s="606">
        <f t="shared" si="13"/>
        <v>46293</v>
      </c>
    </row>
    <row r="20" spans="1:17" s="11" customFormat="1" ht="18.95" customHeight="1" x14ac:dyDescent="0.2">
      <c r="A20" s="53" t="s">
        <v>379</v>
      </c>
      <c r="B20" s="54" t="s">
        <v>384</v>
      </c>
      <c r="C20" s="886">
        <v>0</v>
      </c>
      <c r="D20" s="1117"/>
      <c r="E20" s="884">
        <f t="shared" si="11"/>
        <v>0</v>
      </c>
      <c r="F20" s="884"/>
      <c r="G20" s="884">
        <f t="shared" si="12"/>
        <v>0</v>
      </c>
      <c r="H20" s="884"/>
      <c r="I20" s="884">
        <f t="shared" si="8"/>
        <v>0</v>
      </c>
      <c r="J20" s="884"/>
      <c r="K20" s="884">
        <f t="shared" si="9"/>
        <v>0</v>
      </c>
      <c r="L20" s="884"/>
      <c r="M20" s="884">
        <f t="shared" si="9"/>
        <v>0</v>
      </c>
      <c r="N20" s="884">
        <f t="shared" si="10"/>
        <v>0</v>
      </c>
      <c r="O20" s="886">
        <v>0</v>
      </c>
      <c r="P20" s="887">
        <v>0</v>
      </c>
      <c r="Q20" s="606">
        <f t="shared" si="13"/>
        <v>0</v>
      </c>
    </row>
    <row r="21" spans="1:17" s="11" customFormat="1" ht="18.95" customHeight="1" x14ac:dyDescent="0.2">
      <c r="A21" s="53" t="s">
        <v>380</v>
      </c>
      <c r="B21" s="54" t="s">
        <v>385</v>
      </c>
      <c r="C21" s="886">
        <v>0</v>
      </c>
      <c r="D21" s="1117"/>
      <c r="E21" s="884">
        <f t="shared" si="11"/>
        <v>0</v>
      </c>
      <c r="F21" s="884"/>
      <c r="G21" s="884">
        <f t="shared" si="12"/>
        <v>0</v>
      </c>
      <c r="H21" s="884"/>
      <c r="I21" s="884">
        <f t="shared" si="8"/>
        <v>0</v>
      </c>
      <c r="J21" s="884"/>
      <c r="K21" s="884">
        <f t="shared" si="9"/>
        <v>0</v>
      </c>
      <c r="L21" s="884"/>
      <c r="M21" s="884">
        <f t="shared" si="9"/>
        <v>0</v>
      </c>
      <c r="N21" s="884">
        <f t="shared" si="10"/>
        <v>0</v>
      </c>
      <c r="O21" s="886">
        <v>0</v>
      </c>
      <c r="P21" s="887">
        <v>0</v>
      </c>
      <c r="Q21" s="606">
        <f t="shared" si="13"/>
        <v>0</v>
      </c>
    </row>
    <row r="22" spans="1:17" s="11" customFormat="1" ht="18.95" customHeight="1" x14ac:dyDescent="0.2">
      <c r="A22" s="85" t="s">
        <v>381</v>
      </c>
      <c r="B22" s="54" t="s">
        <v>386</v>
      </c>
      <c r="C22" s="886">
        <v>0</v>
      </c>
      <c r="D22" s="1117"/>
      <c r="E22" s="886">
        <f t="shared" si="11"/>
        <v>0</v>
      </c>
      <c r="F22" s="884"/>
      <c r="G22" s="884">
        <f t="shared" si="12"/>
        <v>0</v>
      </c>
      <c r="H22" s="884"/>
      <c r="I22" s="884">
        <f t="shared" si="8"/>
        <v>0</v>
      </c>
      <c r="J22" s="884"/>
      <c r="K22" s="884">
        <f t="shared" si="9"/>
        <v>0</v>
      </c>
      <c r="L22" s="884"/>
      <c r="M22" s="884">
        <f t="shared" si="9"/>
        <v>0</v>
      </c>
      <c r="N22" s="884">
        <f t="shared" si="10"/>
        <v>0</v>
      </c>
      <c r="O22" s="886">
        <v>0</v>
      </c>
      <c r="P22" s="887">
        <v>0</v>
      </c>
      <c r="Q22" s="606">
        <f t="shared" si="13"/>
        <v>0</v>
      </c>
    </row>
    <row r="23" spans="1:17" s="11" customFormat="1" ht="18.95" customHeight="1" x14ac:dyDescent="0.2">
      <c r="A23" s="53" t="s">
        <v>382</v>
      </c>
      <c r="B23" s="54" t="s">
        <v>387</v>
      </c>
      <c r="C23" s="1090">
        <f t="shared" ref="C23:P23" si="14">SUM(C24:C25)</f>
        <v>199027</v>
      </c>
      <c r="D23" s="1120">
        <f t="shared" si="14"/>
        <v>10520</v>
      </c>
      <c r="E23" s="1090">
        <f t="shared" si="14"/>
        <v>209547</v>
      </c>
      <c r="F23" s="1090">
        <f t="shared" si="14"/>
        <v>6300</v>
      </c>
      <c r="G23" s="1090">
        <f t="shared" si="14"/>
        <v>215847</v>
      </c>
      <c r="H23" s="884">
        <f>H24+H25</f>
        <v>7696</v>
      </c>
      <c r="I23" s="884">
        <f t="shared" si="8"/>
        <v>223543</v>
      </c>
      <c r="J23" s="884">
        <f>J24+J25</f>
        <v>472</v>
      </c>
      <c r="K23" s="884">
        <f t="shared" si="9"/>
        <v>224015</v>
      </c>
      <c r="L23" s="884">
        <f>L24+L25</f>
        <v>970</v>
      </c>
      <c r="M23" s="884">
        <f t="shared" si="9"/>
        <v>224985</v>
      </c>
      <c r="N23" s="884">
        <f t="shared" si="10"/>
        <v>224985</v>
      </c>
      <c r="O23" s="1090">
        <f t="shared" si="14"/>
        <v>0</v>
      </c>
      <c r="P23" s="885">
        <f t="shared" si="14"/>
        <v>0</v>
      </c>
      <c r="Q23" s="606">
        <f t="shared" si="13"/>
        <v>224985</v>
      </c>
    </row>
    <row r="24" spans="1:17" s="55" customFormat="1" ht="18" customHeight="1" x14ac:dyDescent="0.2">
      <c r="A24" s="28" t="s">
        <v>447</v>
      </c>
      <c r="B24" s="21" t="s">
        <v>448</v>
      </c>
      <c r="C24" s="1089"/>
      <c r="D24" s="1119">
        <v>2661</v>
      </c>
      <c r="E24" s="1089">
        <f>C24+D24</f>
        <v>2661</v>
      </c>
      <c r="F24" s="1217"/>
      <c r="G24" s="1217">
        <f>E24+F24</f>
        <v>2661</v>
      </c>
      <c r="H24" s="1217"/>
      <c r="I24" s="884">
        <f t="shared" si="8"/>
        <v>2661</v>
      </c>
      <c r="J24" s="884"/>
      <c r="K24" s="884">
        <f t="shared" si="9"/>
        <v>2661</v>
      </c>
      <c r="L24" s="884"/>
      <c r="M24" s="884">
        <f t="shared" si="9"/>
        <v>2661</v>
      </c>
      <c r="N24" s="884">
        <f t="shared" si="10"/>
        <v>2661</v>
      </c>
      <c r="O24" s="1089"/>
      <c r="P24" s="892"/>
      <c r="Q24" s="606">
        <f t="shared" si="13"/>
        <v>2661</v>
      </c>
    </row>
    <row r="25" spans="1:17" s="55" customFormat="1" ht="18" customHeight="1" thickBot="1" x14ac:dyDescent="0.25">
      <c r="A25" s="88" t="s">
        <v>449</v>
      </c>
      <c r="B25" s="1241" t="s">
        <v>450</v>
      </c>
      <c r="C25" s="1415">
        <v>199027</v>
      </c>
      <c r="D25" s="1416">
        <f>2451+8320+4088-7000</f>
        <v>7859</v>
      </c>
      <c r="E25" s="1415">
        <f>C25+D25</f>
        <v>206886</v>
      </c>
      <c r="F25" s="893">
        <f>1425+2208+2667</f>
        <v>6300</v>
      </c>
      <c r="G25" s="1415">
        <f>E25+F25</f>
        <v>213186</v>
      </c>
      <c r="H25" s="893">
        <f>934+1749+5013</f>
        <v>7696</v>
      </c>
      <c r="I25" s="1218">
        <f t="shared" si="8"/>
        <v>220882</v>
      </c>
      <c r="J25" s="1218">
        <v>472</v>
      </c>
      <c r="K25" s="1218">
        <f t="shared" si="9"/>
        <v>221354</v>
      </c>
      <c r="L25" s="1218">
        <f>448+522</f>
        <v>970</v>
      </c>
      <c r="M25" s="884">
        <f t="shared" si="9"/>
        <v>222324</v>
      </c>
      <c r="N25" s="884">
        <f t="shared" si="10"/>
        <v>222324</v>
      </c>
      <c r="O25" s="1415"/>
      <c r="P25" s="894"/>
      <c r="Q25" s="606">
        <f t="shared" si="13"/>
        <v>222324</v>
      </c>
    </row>
    <row r="26" spans="1:17" s="84" customFormat="1" ht="21" customHeight="1" thickBot="1" x14ac:dyDescent="0.25">
      <c r="A26" s="90"/>
      <c r="B26" s="92" t="s">
        <v>241</v>
      </c>
      <c r="C26" s="890">
        <f t="shared" ref="C26:P26" si="15">SUM(C16:C23)</f>
        <v>245320</v>
      </c>
      <c r="D26" s="1118">
        <f t="shared" si="15"/>
        <v>11565</v>
      </c>
      <c r="E26" s="890">
        <f t="shared" si="15"/>
        <v>256885</v>
      </c>
      <c r="F26" s="890">
        <f t="shared" si="15"/>
        <v>8322</v>
      </c>
      <c r="G26" s="890">
        <f t="shared" si="15"/>
        <v>265207</v>
      </c>
      <c r="H26" s="890">
        <f>SUM(H16:H23)</f>
        <v>9599</v>
      </c>
      <c r="I26" s="890">
        <f t="shared" si="8"/>
        <v>274806</v>
      </c>
      <c r="J26" s="890">
        <f>SUM(J16:J23)</f>
        <v>1542</v>
      </c>
      <c r="K26" s="890">
        <f>SUM(K16:K23)</f>
        <v>276348</v>
      </c>
      <c r="L26" s="890">
        <f>SUM(L16:L23)</f>
        <v>3989</v>
      </c>
      <c r="M26" s="890">
        <f>SUM(M16:M23)</f>
        <v>280337</v>
      </c>
      <c r="N26" s="890">
        <f t="shared" si="15"/>
        <v>280337</v>
      </c>
      <c r="O26" s="890">
        <f t="shared" si="15"/>
        <v>0</v>
      </c>
      <c r="P26" s="1139">
        <f t="shared" si="15"/>
        <v>0</v>
      </c>
      <c r="Q26" s="606">
        <f t="shared" si="13"/>
        <v>280337</v>
      </c>
    </row>
    <row r="27" spans="1:17" s="62" customFormat="1" ht="30.95" customHeight="1" thickBot="1" x14ac:dyDescent="0.25">
      <c r="A27" s="101" t="s">
        <v>262</v>
      </c>
      <c r="B27" s="1590" t="s">
        <v>489</v>
      </c>
      <c r="C27" s="1591"/>
      <c r="D27" s="1591"/>
      <c r="E27" s="1591"/>
      <c r="F27" s="1591"/>
      <c r="G27" s="1591"/>
      <c r="H27" s="1591"/>
      <c r="I27" s="1591"/>
      <c r="J27" s="1591"/>
      <c r="K27" s="1591"/>
      <c r="L27" s="1591"/>
      <c r="M27" s="1591"/>
      <c r="N27" s="1591"/>
      <c r="O27" s="1591"/>
      <c r="P27" s="1592"/>
      <c r="Q27" s="607"/>
    </row>
    <row r="28" spans="1:17" s="55" customFormat="1" ht="18.95" customHeight="1" x14ac:dyDescent="0.2">
      <c r="A28" s="86" t="s">
        <v>375</v>
      </c>
      <c r="B28" s="87" t="s">
        <v>373</v>
      </c>
      <c r="C28" s="884">
        <v>0</v>
      </c>
      <c r="D28" s="1116">
        <v>44</v>
      </c>
      <c r="E28" s="884">
        <f>C28+D28</f>
        <v>44</v>
      </c>
      <c r="F28" s="884"/>
      <c r="G28" s="884">
        <f>E28+F28</f>
        <v>44</v>
      </c>
      <c r="H28" s="884"/>
      <c r="I28" s="884">
        <f t="shared" ref="I28:I38" si="16">G28+H28</f>
        <v>44</v>
      </c>
      <c r="J28" s="884">
        <v>263</v>
      </c>
      <c r="K28" s="884">
        <f t="shared" ref="K28:M37" si="17">I28+J28</f>
        <v>307</v>
      </c>
      <c r="L28" s="884">
        <f>459-44</f>
        <v>415</v>
      </c>
      <c r="M28" s="884">
        <f t="shared" si="17"/>
        <v>722</v>
      </c>
      <c r="N28" s="884">
        <f t="shared" ref="N28:N37" si="18">M28</f>
        <v>722</v>
      </c>
      <c r="O28" s="884">
        <v>0</v>
      </c>
      <c r="P28" s="885">
        <v>0</v>
      </c>
      <c r="Q28" s="608">
        <f>SUM(N28:P28)</f>
        <v>722</v>
      </c>
    </row>
    <row r="29" spans="1:17" s="55" customFormat="1" ht="18.95" customHeight="1" x14ac:dyDescent="0.2">
      <c r="A29" s="53" t="s">
        <v>376</v>
      </c>
      <c r="B29" s="54" t="s">
        <v>374</v>
      </c>
      <c r="C29" s="886">
        <v>0</v>
      </c>
      <c r="D29" s="1117">
        <v>0</v>
      </c>
      <c r="E29" s="884">
        <f t="shared" ref="E29:E37" si="19">C29+D29</f>
        <v>0</v>
      </c>
      <c r="F29" s="884"/>
      <c r="G29" s="884">
        <f t="shared" ref="G29:G34" si="20">E29+F29</f>
        <v>0</v>
      </c>
      <c r="H29" s="884"/>
      <c r="I29" s="884">
        <f t="shared" si="16"/>
        <v>0</v>
      </c>
      <c r="J29" s="884"/>
      <c r="K29" s="884">
        <f t="shared" si="17"/>
        <v>0</v>
      </c>
      <c r="L29" s="884"/>
      <c r="M29" s="884">
        <f t="shared" si="17"/>
        <v>0</v>
      </c>
      <c r="N29" s="884">
        <f t="shared" si="18"/>
        <v>0</v>
      </c>
      <c r="O29" s="886">
        <v>0</v>
      </c>
      <c r="P29" s="887">
        <v>0</v>
      </c>
      <c r="Q29" s="608">
        <f t="shared" ref="Q29:Q38" si="21">SUM(N29:P29)</f>
        <v>0</v>
      </c>
    </row>
    <row r="30" spans="1:17" s="55" customFormat="1" ht="18.95" customHeight="1" x14ac:dyDescent="0.2">
      <c r="A30" s="53" t="s">
        <v>377</v>
      </c>
      <c r="B30" s="54" t="s">
        <v>383</v>
      </c>
      <c r="C30" s="886">
        <v>0</v>
      </c>
      <c r="D30" s="1117"/>
      <c r="E30" s="884">
        <f t="shared" si="19"/>
        <v>0</v>
      </c>
      <c r="F30" s="884"/>
      <c r="G30" s="884">
        <f t="shared" si="20"/>
        <v>0</v>
      </c>
      <c r="H30" s="884"/>
      <c r="I30" s="884">
        <f t="shared" si="16"/>
        <v>0</v>
      </c>
      <c r="J30" s="884"/>
      <c r="K30" s="884">
        <f t="shared" si="17"/>
        <v>0</v>
      </c>
      <c r="L30" s="884"/>
      <c r="M30" s="884">
        <f t="shared" si="17"/>
        <v>0</v>
      </c>
      <c r="N30" s="884">
        <f t="shared" si="18"/>
        <v>0</v>
      </c>
      <c r="O30" s="886">
        <v>0</v>
      </c>
      <c r="P30" s="887">
        <v>0</v>
      </c>
      <c r="Q30" s="608">
        <f t="shared" si="21"/>
        <v>0</v>
      </c>
    </row>
    <row r="31" spans="1:17" s="55" customFormat="1" ht="18.95" customHeight="1" x14ac:dyDescent="0.2">
      <c r="A31" s="53" t="s">
        <v>378</v>
      </c>
      <c r="B31" s="54" t="s">
        <v>48</v>
      </c>
      <c r="C31" s="886">
        <v>0</v>
      </c>
      <c r="D31" s="1117"/>
      <c r="E31" s="884">
        <f t="shared" si="19"/>
        <v>0</v>
      </c>
      <c r="F31" s="884"/>
      <c r="G31" s="884">
        <f t="shared" si="20"/>
        <v>0</v>
      </c>
      <c r="H31" s="884"/>
      <c r="I31" s="884">
        <f t="shared" si="16"/>
        <v>0</v>
      </c>
      <c r="J31" s="884"/>
      <c r="K31" s="884">
        <f t="shared" si="17"/>
        <v>0</v>
      </c>
      <c r="L31" s="884">
        <f>13+44</f>
        <v>57</v>
      </c>
      <c r="M31" s="884">
        <f t="shared" si="17"/>
        <v>57</v>
      </c>
      <c r="N31" s="884">
        <f t="shared" si="18"/>
        <v>57</v>
      </c>
      <c r="O31" s="886">
        <v>0</v>
      </c>
      <c r="P31" s="887">
        <v>0</v>
      </c>
      <c r="Q31" s="608">
        <f t="shared" si="21"/>
        <v>57</v>
      </c>
    </row>
    <row r="32" spans="1:17" s="55" customFormat="1" ht="18.95" customHeight="1" x14ac:dyDescent="0.2">
      <c r="A32" s="53" t="s">
        <v>379</v>
      </c>
      <c r="B32" s="54" t="s">
        <v>384</v>
      </c>
      <c r="C32" s="886">
        <v>0</v>
      </c>
      <c r="D32" s="1117"/>
      <c r="E32" s="884">
        <f t="shared" si="19"/>
        <v>0</v>
      </c>
      <c r="F32" s="884"/>
      <c r="G32" s="884">
        <f t="shared" si="20"/>
        <v>0</v>
      </c>
      <c r="H32" s="884"/>
      <c r="I32" s="884">
        <f t="shared" si="16"/>
        <v>0</v>
      </c>
      <c r="J32" s="884"/>
      <c r="K32" s="884">
        <f t="shared" si="17"/>
        <v>0</v>
      </c>
      <c r="L32" s="884"/>
      <c r="M32" s="884">
        <f t="shared" si="17"/>
        <v>0</v>
      </c>
      <c r="N32" s="884">
        <f t="shared" si="18"/>
        <v>0</v>
      </c>
      <c r="O32" s="886">
        <v>0</v>
      </c>
      <c r="P32" s="887">
        <v>0</v>
      </c>
      <c r="Q32" s="608">
        <f t="shared" si="21"/>
        <v>0</v>
      </c>
    </row>
    <row r="33" spans="1:17" s="55" customFormat="1" ht="18.95" customHeight="1" x14ac:dyDescent="0.2">
      <c r="A33" s="53" t="s">
        <v>380</v>
      </c>
      <c r="B33" s="54" t="s">
        <v>385</v>
      </c>
      <c r="C33" s="886">
        <v>0</v>
      </c>
      <c r="D33" s="1117"/>
      <c r="E33" s="884">
        <f t="shared" si="19"/>
        <v>0</v>
      </c>
      <c r="F33" s="884"/>
      <c r="G33" s="884">
        <f t="shared" si="20"/>
        <v>0</v>
      </c>
      <c r="H33" s="884"/>
      <c r="I33" s="884">
        <f t="shared" si="16"/>
        <v>0</v>
      </c>
      <c r="J33" s="884"/>
      <c r="K33" s="884">
        <f t="shared" si="17"/>
        <v>0</v>
      </c>
      <c r="L33" s="884"/>
      <c r="M33" s="884">
        <f t="shared" si="17"/>
        <v>0</v>
      </c>
      <c r="N33" s="884">
        <f t="shared" si="18"/>
        <v>0</v>
      </c>
      <c r="O33" s="886">
        <v>0</v>
      </c>
      <c r="P33" s="887">
        <v>0</v>
      </c>
      <c r="Q33" s="608">
        <f t="shared" si="21"/>
        <v>0</v>
      </c>
    </row>
    <row r="34" spans="1:17" s="55" customFormat="1" ht="18.95" customHeight="1" x14ac:dyDescent="0.2">
      <c r="A34" s="53" t="s">
        <v>381</v>
      </c>
      <c r="B34" s="54" t="s">
        <v>386</v>
      </c>
      <c r="C34" s="886">
        <v>0</v>
      </c>
      <c r="D34" s="1117"/>
      <c r="E34" s="884">
        <f t="shared" si="19"/>
        <v>0</v>
      </c>
      <c r="F34" s="884"/>
      <c r="G34" s="884">
        <f t="shared" si="20"/>
        <v>0</v>
      </c>
      <c r="H34" s="884"/>
      <c r="I34" s="884">
        <f t="shared" si="16"/>
        <v>0</v>
      </c>
      <c r="J34" s="884"/>
      <c r="K34" s="884">
        <f t="shared" si="17"/>
        <v>0</v>
      </c>
      <c r="L34" s="884"/>
      <c r="M34" s="884">
        <f t="shared" si="17"/>
        <v>0</v>
      </c>
      <c r="N34" s="884">
        <f t="shared" si="18"/>
        <v>0</v>
      </c>
      <c r="O34" s="886">
        <v>0</v>
      </c>
      <c r="P34" s="887">
        <v>0</v>
      </c>
      <c r="Q34" s="608">
        <f t="shared" si="21"/>
        <v>0</v>
      </c>
    </row>
    <row r="35" spans="1:17" s="55" customFormat="1" ht="18.95" customHeight="1" x14ac:dyDescent="0.2">
      <c r="A35" s="53" t="s">
        <v>382</v>
      </c>
      <c r="B35" s="54" t="s">
        <v>387</v>
      </c>
      <c r="C35" s="888">
        <f>SUM(C36:C37)</f>
        <v>127066</v>
      </c>
      <c r="D35" s="1115">
        <f t="shared" ref="D35:P35" si="22">SUM(D36:D37)</f>
        <v>3696</v>
      </c>
      <c r="E35" s="888">
        <f t="shared" si="22"/>
        <v>130762</v>
      </c>
      <c r="F35" s="888">
        <f t="shared" si="22"/>
        <v>288</v>
      </c>
      <c r="G35" s="888">
        <f t="shared" si="22"/>
        <v>131050</v>
      </c>
      <c r="H35" s="1088">
        <f>H36+H37</f>
        <v>150</v>
      </c>
      <c r="I35" s="884">
        <f t="shared" si="16"/>
        <v>131200</v>
      </c>
      <c r="J35" s="884">
        <f>J36+J37</f>
        <v>87</v>
      </c>
      <c r="K35" s="884">
        <f t="shared" si="17"/>
        <v>131287</v>
      </c>
      <c r="L35" s="884">
        <f>L36+L37</f>
        <v>86</v>
      </c>
      <c r="M35" s="884">
        <f t="shared" si="17"/>
        <v>131373</v>
      </c>
      <c r="N35" s="884">
        <f t="shared" si="18"/>
        <v>131373</v>
      </c>
      <c r="O35" s="888">
        <f t="shared" si="22"/>
        <v>0</v>
      </c>
      <c r="P35" s="889">
        <f t="shared" si="22"/>
        <v>0</v>
      </c>
      <c r="Q35" s="608">
        <f t="shared" si="21"/>
        <v>131373</v>
      </c>
    </row>
    <row r="36" spans="1:17" s="55" customFormat="1" ht="18" customHeight="1" x14ac:dyDescent="0.2">
      <c r="A36" s="28" t="s">
        <v>447</v>
      </c>
      <c r="B36" s="21" t="s">
        <v>448</v>
      </c>
      <c r="C36" s="888"/>
      <c r="D36" s="1115">
        <v>956</v>
      </c>
      <c r="E36" s="1088">
        <v>956</v>
      </c>
      <c r="F36" s="1088"/>
      <c r="G36" s="1088">
        <f>E36+F36</f>
        <v>956</v>
      </c>
      <c r="H36" s="1088"/>
      <c r="I36" s="884">
        <f t="shared" si="16"/>
        <v>956</v>
      </c>
      <c r="J36" s="884"/>
      <c r="K36" s="884">
        <f t="shared" si="17"/>
        <v>956</v>
      </c>
      <c r="L36" s="884"/>
      <c r="M36" s="884">
        <f t="shared" si="17"/>
        <v>956</v>
      </c>
      <c r="N36" s="884">
        <f t="shared" si="18"/>
        <v>956</v>
      </c>
      <c r="O36" s="888"/>
      <c r="P36" s="889"/>
      <c r="Q36" s="608">
        <f t="shared" si="21"/>
        <v>956</v>
      </c>
    </row>
    <row r="37" spans="1:17" s="11" customFormat="1" ht="18" customHeight="1" thickBot="1" x14ac:dyDescent="0.25">
      <c r="A37" s="88" t="s">
        <v>449</v>
      </c>
      <c r="B37" s="89" t="s">
        <v>450</v>
      </c>
      <c r="C37" s="888">
        <v>127066</v>
      </c>
      <c r="D37" s="1115">
        <f>541+853+2246-900</f>
        <v>2740</v>
      </c>
      <c r="E37" s="1218">
        <f t="shared" si="19"/>
        <v>129806</v>
      </c>
      <c r="F37" s="1218">
        <f>288</f>
        <v>288</v>
      </c>
      <c r="G37" s="1240">
        <f>E37+F37</f>
        <v>130094</v>
      </c>
      <c r="H37" s="1218">
        <v>150</v>
      </c>
      <c r="I37" s="1218">
        <f t="shared" si="16"/>
        <v>130244</v>
      </c>
      <c r="J37" s="1218">
        <v>87</v>
      </c>
      <c r="K37" s="1218">
        <f t="shared" si="17"/>
        <v>130331</v>
      </c>
      <c r="L37" s="1218">
        <v>86</v>
      </c>
      <c r="M37" s="884">
        <f t="shared" si="17"/>
        <v>130417</v>
      </c>
      <c r="N37" s="884">
        <f t="shared" si="18"/>
        <v>130417</v>
      </c>
      <c r="O37" s="888">
        <v>0</v>
      </c>
      <c r="P37" s="889">
        <v>0</v>
      </c>
      <c r="Q37" s="608">
        <f t="shared" si="21"/>
        <v>130417</v>
      </c>
    </row>
    <row r="38" spans="1:17" s="84" customFormat="1" ht="21" customHeight="1" thickBot="1" x14ac:dyDescent="0.25">
      <c r="A38" s="90"/>
      <c r="B38" s="92" t="s">
        <v>241</v>
      </c>
      <c r="C38" s="890">
        <f>SUM(C28:C35)</f>
        <v>127066</v>
      </c>
      <c r="D38" s="1118">
        <f t="shared" ref="D38:P38" si="23">SUM(D28:D35)</f>
        <v>3740</v>
      </c>
      <c r="E38" s="890">
        <f t="shared" si="23"/>
        <v>130806</v>
      </c>
      <c r="F38" s="890">
        <f t="shared" si="23"/>
        <v>288</v>
      </c>
      <c r="G38" s="890">
        <f t="shared" si="23"/>
        <v>131094</v>
      </c>
      <c r="H38" s="890">
        <f>SUM(H28:H35)</f>
        <v>150</v>
      </c>
      <c r="I38" s="890">
        <f t="shared" si="16"/>
        <v>131244</v>
      </c>
      <c r="J38" s="890">
        <f>SUM(J28:J35)</f>
        <v>350</v>
      </c>
      <c r="K38" s="890">
        <f>SUM(K28:K35)</f>
        <v>131594</v>
      </c>
      <c r="L38" s="890">
        <f>SUM(L28:L35)</f>
        <v>558</v>
      </c>
      <c r="M38" s="890">
        <f>SUM(M28:M35)</f>
        <v>132152</v>
      </c>
      <c r="N38" s="890">
        <f>SUM(N28:N35)</f>
        <v>132152</v>
      </c>
      <c r="O38" s="890">
        <f t="shared" si="23"/>
        <v>0</v>
      </c>
      <c r="P38" s="1139">
        <f t="shared" si="23"/>
        <v>0</v>
      </c>
      <c r="Q38" s="608">
        <f t="shared" si="21"/>
        <v>132152</v>
      </c>
    </row>
    <row r="39" spans="1:17" s="62" customFormat="1" ht="30.95" customHeight="1" thickBot="1" x14ac:dyDescent="0.25">
      <c r="A39" s="101" t="s">
        <v>265</v>
      </c>
      <c r="B39" s="1590" t="s">
        <v>490</v>
      </c>
      <c r="C39" s="1591"/>
      <c r="D39" s="1591"/>
      <c r="E39" s="1591"/>
      <c r="F39" s="1591"/>
      <c r="G39" s="1591"/>
      <c r="H39" s="1591"/>
      <c r="I39" s="1591"/>
      <c r="J39" s="1591"/>
      <c r="K39" s="1591"/>
      <c r="L39" s="1591"/>
      <c r="M39" s="1591"/>
      <c r="N39" s="1591"/>
      <c r="O39" s="1591"/>
      <c r="P39" s="1592"/>
      <c r="Q39" s="607"/>
    </row>
    <row r="40" spans="1:17" s="55" customFormat="1" ht="18.95" customHeight="1" x14ac:dyDescent="0.2">
      <c r="A40" s="86" t="s">
        <v>375</v>
      </c>
      <c r="B40" s="87" t="s">
        <v>373</v>
      </c>
      <c r="C40" s="884">
        <v>0</v>
      </c>
      <c r="D40" s="1116">
        <v>433</v>
      </c>
      <c r="E40" s="884">
        <f>C40+D40</f>
        <v>433</v>
      </c>
      <c r="F40" s="884">
        <v>128</v>
      </c>
      <c r="G40" s="884">
        <f>E40+F40</f>
        <v>561</v>
      </c>
      <c r="H40" s="884"/>
      <c r="I40" s="884">
        <f t="shared" ref="I40:I50" si="24">G40+H40</f>
        <v>561</v>
      </c>
      <c r="J40" s="884">
        <v>175</v>
      </c>
      <c r="K40" s="884">
        <f t="shared" ref="K40:M49" si="25">I40+J40</f>
        <v>736</v>
      </c>
      <c r="L40" s="884">
        <f>349</f>
        <v>349</v>
      </c>
      <c r="M40" s="884">
        <f t="shared" si="25"/>
        <v>1085</v>
      </c>
      <c r="N40" s="884">
        <f t="shared" ref="N40:N49" si="26">M40</f>
        <v>1085</v>
      </c>
      <c r="O40" s="884">
        <v>0</v>
      </c>
      <c r="P40" s="885">
        <v>0</v>
      </c>
      <c r="Q40" s="608">
        <f>SUM(N40:P40)</f>
        <v>1085</v>
      </c>
    </row>
    <row r="41" spans="1:17" s="55" customFormat="1" ht="18.95" customHeight="1" x14ac:dyDescent="0.2">
      <c r="A41" s="53" t="s">
        <v>376</v>
      </c>
      <c r="B41" s="54" t="s">
        <v>374</v>
      </c>
      <c r="C41" s="886">
        <v>0</v>
      </c>
      <c r="D41" s="1117"/>
      <c r="E41" s="884">
        <f t="shared" ref="E41:E49" si="27">C41+D41</f>
        <v>0</v>
      </c>
      <c r="F41" s="884"/>
      <c r="G41" s="884">
        <f t="shared" ref="G41:G46" si="28">E41+F41</f>
        <v>0</v>
      </c>
      <c r="H41" s="884"/>
      <c r="I41" s="884">
        <f t="shared" si="24"/>
        <v>0</v>
      </c>
      <c r="J41" s="884"/>
      <c r="K41" s="884">
        <f t="shared" si="25"/>
        <v>0</v>
      </c>
      <c r="L41" s="884"/>
      <c r="M41" s="884">
        <f t="shared" si="25"/>
        <v>0</v>
      </c>
      <c r="N41" s="884">
        <f t="shared" si="26"/>
        <v>0</v>
      </c>
      <c r="O41" s="886">
        <v>0</v>
      </c>
      <c r="P41" s="887">
        <v>0</v>
      </c>
      <c r="Q41" s="608">
        <f t="shared" ref="Q41:Q50" si="29">SUM(N41:P41)</f>
        <v>0</v>
      </c>
    </row>
    <row r="42" spans="1:17" s="55" customFormat="1" ht="18.95" customHeight="1" x14ac:dyDescent="0.2">
      <c r="A42" s="53" t="s">
        <v>377</v>
      </c>
      <c r="B42" s="54" t="s">
        <v>383</v>
      </c>
      <c r="C42" s="886">
        <v>0</v>
      </c>
      <c r="D42" s="1117"/>
      <c r="E42" s="884">
        <f t="shared" si="27"/>
        <v>0</v>
      </c>
      <c r="F42" s="884"/>
      <c r="G42" s="884">
        <f t="shared" si="28"/>
        <v>0</v>
      </c>
      <c r="H42" s="884"/>
      <c r="I42" s="884">
        <f t="shared" si="24"/>
        <v>0</v>
      </c>
      <c r="J42" s="884"/>
      <c r="K42" s="884">
        <f t="shared" si="25"/>
        <v>0</v>
      </c>
      <c r="L42" s="884"/>
      <c r="M42" s="884">
        <f t="shared" si="25"/>
        <v>0</v>
      </c>
      <c r="N42" s="884">
        <f t="shared" si="26"/>
        <v>0</v>
      </c>
      <c r="O42" s="886">
        <v>0</v>
      </c>
      <c r="P42" s="887">
        <v>0</v>
      </c>
      <c r="Q42" s="608">
        <f t="shared" si="29"/>
        <v>0</v>
      </c>
    </row>
    <row r="43" spans="1:17" s="55" customFormat="1" ht="18.95" customHeight="1" x14ac:dyDescent="0.2">
      <c r="A43" s="53" t="s">
        <v>378</v>
      </c>
      <c r="B43" s="54" t="s">
        <v>48</v>
      </c>
      <c r="C43" s="886">
        <v>0</v>
      </c>
      <c r="D43" s="1117"/>
      <c r="E43" s="884">
        <f t="shared" si="27"/>
        <v>0</v>
      </c>
      <c r="F43" s="884"/>
      <c r="G43" s="884">
        <f t="shared" si="28"/>
        <v>0</v>
      </c>
      <c r="H43" s="884"/>
      <c r="I43" s="884">
        <f t="shared" si="24"/>
        <v>0</v>
      </c>
      <c r="J43" s="884"/>
      <c r="K43" s="884">
        <f t="shared" si="25"/>
        <v>0</v>
      </c>
      <c r="L43" s="884"/>
      <c r="M43" s="884">
        <f t="shared" si="25"/>
        <v>0</v>
      </c>
      <c r="N43" s="884">
        <f t="shared" si="26"/>
        <v>0</v>
      </c>
      <c r="O43" s="886">
        <v>0</v>
      </c>
      <c r="P43" s="887">
        <v>0</v>
      </c>
      <c r="Q43" s="608">
        <f t="shared" si="29"/>
        <v>0</v>
      </c>
    </row>
    <row r="44" spans="1:17" s="55" customFormat="1" ht="18.95" customHeight="1" x14ac:dyDescent="0.2">
      <c r="A44" s="53" t="s">
        <v>379</v>
      </c>
      <c r="B44" s="54" t="s">
        <v>384</v>
      </c>
      <c r="C44" s="886">
        <v>0</v>
      </c>
      <c r="D44" s="1117"/>
      <c r="E44" s="884">
        <f t="shared" si="27"/>
        <v>0</v>
      </c>
      <c r="F44" s="884"/>
      <c r="G44" s="884">
        <f t="shared" si="28"/>
        <v>0</v>
      </c>
      <c r="H44" s="884"/>
      <c r="I44" s="884">
        <f t="shared" si="24"/>
        <v>0</v>
      </c>
      <c r="J44" s="884"/>
      <c r="K44" s="884">
        <f t="shared" si="25"/>
        <v>0</v>
      </c>
      <c r="L44" s="884"/>
      <c r="M44" s="884">
        <f t="shared" si="25"/>
        <v>0</v>
      </c>
      <c r="N44" s="884">
        <f t="shared" si="26"/>
        <v>0</v>
      </c>
      <c r="O44" s="886">
        <v>0</v>
      </c>
      <c r="P44" s="887">
        <v>0</v>
      </c>
      <c r="Q44" s="608">
        <f t="shared" si="29"/>
        <v>0</v>
      </c>
    </row>
    <row r="45" spans="1:17" s="55" customFormat="1" ht="18.95" customHeight="1" x14ac:dyDescent="0.2">
      <c r="A45" s="53" t="s">
        <v>380</v>
      </c>
      <c r="B45" s="54" t="s">
        <v>385</v>
      </c>
      <c r="C45" s="886">
        <v>0</v>
      </c>
      <c r="D45" s="1117"/>
      <c r="E45" s="884">
        <f t="shared" si="27"/>
        <v>0</v>
      </c>
      <c r="F45" s="884"/>
      <c r="G45" s="884">
        <f t="shared" si="28"/>
        <v>0</v>
      </c>
      <c r="H45" s="884"/>
      <c r="I45" s="884">
        <f t="shared" si="24"/>
        <v>0</v>
      </c>
      <c r="J45" s="884"/>
      <c r="K45" s="884">
        <f t="shared" si="25"/>
        <v>0</v>
      </c>
      <c r="L45" s="884"/>
      <c r="M45" s="884">
        <f t="shared" si="25"/>
        <v>0</v>
      </c>
      <c r="N45" s="884">
        <f t="shared" si="26"/>
        <v>0</v>
      </c>
      <c r="O45" s="886">
        <v>0</v>
      </c>
      <c r="P45" s="887">
        <v>0</v>
      </c>
      <c r="Q45" s="608">
        <f t="shared" si="29"/>
        <v>0</v>
      </c>
    </row>
    <row r="46" spans="1:17" s="55" customFormat="1" ht="18.95" customHeight="1" x14ac:dyDescent="0.2">
      <c r="A46" s="53" t="s">
        <v>381</v>
      </c>
      <c r="B46" s="54" t="s">
        <v>386</v>
      </c>
      <c r="C46" s="886">
        <v>0</v>
      </c>
      <c r="D46" s="1117"/>
      <c r="E46" s="884">
        <f t="shared" si="27"/>
        <v>0</v>
      </c>
      <c r="F46" s="884"/>
      <c r="G46" s="884">
        <f t="shared" si="28"/>
        <v>0</v>
      </c>
      <c r="H46" s="884"/>
      <c r="I46" s="884">
        <f t="shared" si="24"/>
        <v>0</v>
      </c>
      <c r="J46" s="884"/>
      <c r="K46" s="884">
        <f t="shared" si="25"/>
        <v>0</v>
      </c>
      <c r="L46" s="884"/>
      <c r="M46" s="884">
        <f t="shared" si="25"/>
        <v>0</v>
      </c>
      <c r="N46" s="884">
        <f t="shared" si="26"/>
        <v>0</v>
      </c>
      <c r="O46" s="886">
        <v>0</v>
      </c>
      <c r="P46" s="887">
        <v>0</v>
      </c>
      <c r="Q46" s="608">
        <f t="shared" si="29"/>
        <v>0</v>
      </c>
    </row>
    <row r="47" spans="1:17" s="55" customFormat="1" ht="18.95" customHeight="1" x14ac:dyDescent="0.2">
      <c r="A47" s="53" t="s">
        <v>382</v>
      </c>
      <c r="B47" s="54" t="s">
        <v>387</v>
      </c>
      <c r="C47" s="888">
        <f>SUM(C48:C49)</f>
        <v>78070</v>
      </c>
      <c r="D47" s="1115">
        <f t="shared" ref="D47:P47" si="30">SUM(D48:D49)</f>
        <v>2582</v>
      </c>
      <c r="E47" s="888">
        <f t="shared" si="30"/>
        <v>80652</v>
      </c>
      <c r="F47" s="888">
        <f t="shared" si="30"/>
        <v>152</v>
      </c>
      <c r="G47" s="888">
        <f t="shared" si="30"/>
        <v>80804</v>
      </c>
      <c r="H47" s="1088">
        <f>H48+H49</f>
        <v>96</v>
      </c>
      <c r="I47" s="884">
        <f t="shared" si="24"/>
        <v>80900</v>
      </c>
      <c r="J47" s="884">
        <f>J48+J49</f>
        <v>45</v>
      </c>
      <c r="K47" s="884">
        <f t="shared" si="25"/>
        <v>80945</v>
      </c>
      <c r="L47" s="884">
        <f>L48+L49</f>
        <v>45</v>
      </c>
      <c r="M47" s="884">
        <f t="shared" si="25"/>
        <v>80990</v>
      </c>
      <c r="N47" s="884">
        <f t="shared" si="26"/>
        <v>80990</v>
      </c>
      <c r="O47" s="888">
        <f t="shared" si="30"/>
        <v>0</v>
      </c>
      <c r="P47" s="889">
        <f t="shared" si="30"/>
        <v>0</v>
      </c>
      <c r="Q47" s="608">
        <f t="shared" si="29"/>
        <v>80990</v>
      </c>
    </row>
    <row r="48" spans="1:17" s="55" customFormat="1" ht="18" customHeight="1" x14ac:dyDescent="0.2">
      <c r="A48" s="28" t="s">
        <v>447</v>
      </c>
      <c r="B48" s="21" t="s">
        <v>448</v>
      </c>
      <c r="C48" s="888"/>
      <c r="D48" s="1115">
        <v>1430</v>
      </c>
      <c r="E48" s="1088">
        <v>1430</v>
      </c>
      <c r="F48" s="1088"/>
      <c r="G48" s="1088">
        <f>E48+F48</f>
        <v>1430</v>
      </c>
      <c r="H48" s="1088"/>
      <c r="I48" s="884">
        <f t="shared" si="24"/>
        <v>1430</v>
      </c>
      <c r="J48" s="884"/>
      <c r="K48" s="884">
        <f t="shared" si="25"/>
        <v>1430</v>
      </c>
      <c r="L48" s="884"/>
      <c r="M48" s="884">
        <f t="shared" si="25"/>
        <v>1430</v>
      </c>
      <c r="N48" s="884">
        <f t="shared" si="26"/>
        <v>1430</v>
      </c>
      <c r="O48" s="888"/>
      <c r="P48" s="889"/>
      <c r="Q48" s="608">
        <f t="shared" si="29"/>
        <v>1430</v>
      </c>
    </row>
    <row r="49" spans="1:17" s="11" customFormat="1" ht="18" customHeight="1" thickBot="1" x14ac:dyDescent="0.25">
      <c r="A49" s="88" t="s">
        <v>449</v>
      </c>
      <c r="B49" s="89" t="s">
        <v>450</v>
      </c>
      <c r="C49" s="888">
        <v>78070</v>
      </c>
      <c r="D49" s="1115">
        <f>262+2790-3900+2000</f>
        <v>1152</v>
      </c>
      <c r="E49" s="1240">
        <f t="shared" si="27"/>
        <v>79222</v>
      </c>
      <c r="F49" s="1240">
        <v>152</v>
      </c>
      <c r="G49" s="1240">
        <f>E49+F49</f>
        <v>79374</v>
      </c>
      <c r="H49" s="1218">
        <v>96</v>
      </c>
      <c r="I49" s="1218">
        <f t="shared" si="24"/>
        <v>79470</v>
      </c>
      <c r="J49" s="1218">
        <v>45</v>
      </c>
      <c r="K49" s="1218">
        <f t="shared" si="25"/>
        <v>79515</v>
      </c>
      <c r="L49" s="1218">
        <v>45</v>
      </c>
      <c r="M49" s="884">
        <f t="shared" si="25"/>
        <v>79560</v>
      </c>
      <c r="N49" s="884">
        <f t="shared" si="26"/>
        <v>79560</v>
      </c>
      <c r="O49" s="888">
        <v>0</v>
      </c>
      <c r="P49" s="889">
        <v>0</v>
      </c>
      <c r="Q49" s="608">
        <f t="shared" si="29"/>
        <v>79560</v>
      </c>
    </row>
    <row r="50" spans="1:17" s="84" customFormat="1" ht="21" customHeight="1" thickBot="1" x14ac:dyDescent="0.25">
      <c r="A50" s="90"/>
      <c r="B50" s="92" t="s">
        <v>241</v>
      </c>
      <c r="C50" s="890">
        <f>SUM(C40:C47)</f>
        <v>78070</v>
      </c>
      <c r="D50" s="1118">
        <f t="shared" ref="D50:P50" si="31">SUM(D40:D47)</f>
        <v>3015</v>
      </c>
      <c r="E50" s="890">
        <f t="shared" si="31"/>
        <v>81085</v>
      </c>
      <c r="F50" s="890">
        <f t="shared" si="31"/>
        <v>280</v>
      </c>
      <c r="G50" s="1238">
        <f t="shared" si="31"/>
        <v>81365</v>
      </c>
      <c r="H50" s="1238">
        <f>SUM(H40:H47)</f>
        <v>96</v>
      </c>
      <c r="I50" s="890">
        <f t="shared" si="24"/>
        <v>81461</v>
      </c>
      <c r="J50" s="890">
        <f>SUM(J40:J47)</f>
        <v>220</v>
      </c>
      <c r="K50" s="890">
        <f>SUM(K40:K47)</f>
        <v>81681</v>
      </c>
      <c r="L50" s="890">
        <f>SUM(L40:L47)</f>
        <v>394</v>
      </c>
      <c r="M50" s="890">
        <f>SUM(M40:M47)</f>
        <v>82075</v>
      </c>
      <c r="N50" s="890">
        <f>SUM(N40:N47)</f>
        <v>82075</v>
      </c>
      <c r="O50" s="890">
        <f t="shared" si="31"/>
        <v>0</v>
      </c>
      <c r="P50" s="1139">
        <f t="shared" si="31"/>
        <v>0</v>
      </c>
      <c r="Q50" s="608">
        <f t="shared" si="29"/>
        <v>82075</v>
      </c>
    </row>
    <row r="51" spans="1:17" s="62" customFormat="1" ht="30.95" customHeight="1" thickBot="1" x14ac:dyDescent="0.25">
      <c r="A51" s="101" t="s">
        <v>266</v>
      </c>
      <c r="B51" s="1590" t="s">
        <v>201</v>
      </c>
      <c r="C51" s="1591"/>
      <c r="D51" s="1591"/>
      <c r="E51" s="1591"/>
      <c r="F51" s="1591"/>
      <c r="G51" s="1591"/>
      <c r="H51" s="1591"/>
      <c r="I51" s="1591"/>
      <c r="J51" s="1591"/>
      <c r="K51" s="1591"/>
      <c r="L51" s="1591"/>
      <c r="M51" s="1591"/>
      <c r="N51" s="1591"/>
      <c r="O51" s="1591"/>
      <c r="P51" s="1592"/>
      <c r="Q51" s="607"/>
    </row>
    <row r="52" spans="1:17" s="55" customFormat="1" ht="18.95" customHeight="1" x14ac:dyDescent="0.2">
      <c r="A52" s="86" t="s">
        <v>375</v>
      </c>
      <c r="B52" s="87" t="s">
        <v>373</v>
      </c>
      <c r="C52" s="884">
        <v>0</v>
      </c>
      <c r="D52" s="1116">
        <v>352</v>
      </c>
      <c r="E52" s="884">
        <f>C52+D52</f>
        <v>352</v>
      </c>
      <c r="F52" s="884">
        <v>130</v>
      </c>
      <c r="G52" s="884">
        <f>E52+F52</f>
        <v>482</v>
      </c>
      <c r="H52" s="884"/>
      <c r="I52" s="884">
        <f t="shared" ref="I52:I62" si="32">G52+H52</f>
        <v>482</v>
      </c>
      <c r="J52" s="884">
        <v>263</v>
      </c>
      <c r="K52" s="884">
        <f t="shared" ref="K52:M61" si="33">I52+J52</f>
        <v>745</v>
      </c>
      <c r="L52" s="884">
        <f>255</f>
        <v>255</v>
      </c>
      <c r="M52" s="884">
        <f t="shared" si="33"/>
        <v>1000</v>
      </c>
      <c r="N52" s="884">
        <f t="shared" ref="N52:N61" si="34">M52</f>
        <v>1000</v>
      </c>
      <c r="O52" s="884">
        <v>0</v>
      </c>
      <c r="P52" s="885">
        <v>0</v>
      </c>
      <c r="Q52" s="608">
        <f>SUM(N52:P52)</f>
        <v>1000</v>
      </c>
    </row>
    <row r="53" spans="1:17" s="55" customFormat="1" ht="18.95" customHeight="1" x14ac:dyDescent="0.2">
      <c r="A53" s="53" t="s">
        <v>376</v>
      </c>
      <c r="B53" s="54" t="s">
        <v>374</v>
      </c>
      <c r="C53" s="886">
        <v>0</v>
      </c>
      <c r="D53" s="1117"/>
      <c r="E53" s="884">
        <f t="shared" ref="E53:E61" si="35">C53+D53</f>
        <v>0</v>
      </c>
      <c r="F53" s="884"/>
      <c r="G53" s="884">
        <f t="shared" ref="G53:G58" si="36">E53+F53</f>
        <v>0</v>
      </c>
      <c r="H53" s="884"/>
      <c r="I53" s="884">
        <f t="shared" si="32"/>
        <v>0</v>
      </c>
      <c r="J53" s="884"/>
      <c r="K53" s="884">
        <f t="shared" si="33"/>
        <v>0</v>
      </c>
      <c r="L53" s="884"/>
      <c r="M53" s="884">
        <f t="shared" si="33"/>
        <v>0</v>
      </c>
      <c r="N53" s="884">
        <f t="shared" si="34"/>
        <v>0</v>
      </c>
      <c r="O53" s="886">
        <v>0</v>
      </c>
      <c r="P53" s="887">
        <v>0</v>
      </c>
      <c r="Q53" s="608">
        <f t="shared" ref="Q53:Q62" si="37">SUM(N53:P53)</f>
        <v>0</v>
      </c>
    </row>
    <row r="54" spans="1:17" s="55" customFormat="1" ht="18.95" customHeight="1" x14ac:dyDescent="0.2">
      <c r="A54" s="53" t="s">
        <v>377</v>
      </c>
      <c r="B54" s="54" t="s">
        <v>383</v>
      </c>
      <c r="C54" s="886">
        <v>0</v>
      </c>
      <c r="D54" s="1117"/>
      <c r="E54" s="884">
        <f t="shared" si="35"/>
        <v>0</v>
      </c>
      <c r="F54" s="884"/>
      <c r="G54" s="884">
        <f t="shared" si="36"/>
        <v>0</v>
      </c>
      <c r="H54" s="884"/>
      <c r="I54" s="884">
        <f t="shared" si="32"/>
        <v>0</v>
      </c>
      <c r="J54" s="884"/>
      <c r="K54" s="884">
        <f t="shared" si="33"/>
        <v>0</v>
      </c>
      <c r="L54" s="884"/>
      <c r="M54" s="884">
        <f t="shared" si="33"/>
        <v>0</v>
      </c>
      <c r="N54" s="884">
        <f t="shared" si="34"/>
        <v>0</v>
      </c>
      <c r="O54" s="886">
        <v>0</v>
      </c>
      <c r="P54" s="887">
        <v>0</v>
      </c>
      <c r="Q54" s="608">
        <f t="shared" si="37"/>
        <v>0</v>
      </c>
    </row>
    <row r="55" spans="1:17" s="55" customFormat="1" ht="18.95" customHeight="1" x14ac:dyDescent="0.2">
      <c r="A55" s="53" t="s">
        <v>378</v>
      </c>
      <c r="B55" s="54" t="s">
        <v>48</v>
      </c>
      <c r="C55" s="886">
        <v>0</v>
      </c>
      <c r="D55" s="1117"/>
      <c r="E55" s="884">
        <f t="shared" si="35"/>
        <v>0</v>
      </c>
      <c r="F55" s="884"/>
      <c r="G55" s="884">
        <f t="shared" si="36"/>
        <v>0</v>
      </c>
      <c r="H55" s="884"/>
      <c r="I55" s="884">
        <f t="shared" si="32"/>
        <v>0</v>
      </c>
      <c r="J55" s="884"/>
      <c r="K55" s="884">
        <f t="shared" si="33"/>
        <v>0</v>
      </c>
      <c r="L55" s="884">
        <v>78</v>
      </c>
      <c r="M55" s="884">
        <f t="shared" si="33"/>
        <v>78</v>
      </c>
      <c r="N55" s="884">
        <f t="shared" si="34"/>
        <v>78</v>
      </c>
      <c r="O55" s="886">
        <v>0</v>
      </c>
      <c r="P55" s="887">
        <v>0</v>
      </c>
      <c r="Q55" s="608">
        <f t="shared" si="37"/>
        <v>78</v>
      </c>
    </row>
    <row r="56" spans="1:17" s="55" customFormat="1" ht="18.95" customHeight="1" x14ac:dyDescent="0.2">
      <c r="A56" s="53" t="s">
        <v>379</v>
      </c>
      <c r="B56" s="54" t="s">
        <v>384</v>
      </c>
      <c r="C56" s="886">
        <v>0</v>
      </c>
      <c r="D56" s="1117"/>
      <c r="E56" s="884">
        <f t="shared" si="35"/>
        <v>0</v>
      </c>
      <c r="F56" s="884"/>
      <c r="G56" s="884">
        <f t="shared" si="36"/>
        <v>0</v>
      </c>
      <c r="H56" s="884"/>
      <c r="I56" s="884">
        <f t="shared" si="32"/>
        <v>0</v>
      </c>
      <c r="J56" s="884"/>
      <c r="K56" s="884">
        <f t="shared" si="33"/>
        <v>0</v>
      </c>
      <c r="L56" s="884"/>
      <c r="M56" s="884">
        <f t="shared" si="33"/>
        <v>0</v>
      </c>
      <c r="N56" s="884">
        <f t="shared" si="34"/>
        <v>0</v>
      </c>
      <c r="O56" s="886">
        <v>0</v>
      </c>
      <c r="P56" s="887">
        <v>0</v>
      </c>
      <c r="Q56" s="608">
        <f t="shared" si="37"/>
        <v>0</v>
      </c>
    </row>
    <row r="57" spans="1:17" s="55" customFormat="1" ht="18.95" customHeight="1" x14ac:dyDescent="0.2">
      <c r="A57" s="53" t="s">
        <v>380</v>
      </c>
      <c r="B57" s="54" t="s">
        <v>385</v>
      </c>
      <c r="C57" s="886">
        <v>0</v>
      </c>
      <c r="D57" s="1117"/>
      <c r="E57" s="884">
        <f t="shared" si="35"/>
        <v>0</v>
      </c>
      <c r="F57" s="884"/>
      <c r="G57" s="884">
        <f t="shared" si="36"/>
        <v>0</v>
      </c>
      <c r="H57" s="884"/>
      <c r="I57" s="884">
        <f t="shared" si="32"/>
        <v>0</v>
      </c>
      <c r="J57" s="884"/>
      <c r="K57" s="884">
        <f t="shared" si="33"/>
        <v>0</v>
      </c>
      <c r="L57" s="884">
        <v>150</v>
      </c>
      <c r="M57" s="884">
        <f t="shared" si="33"/>
        <v>150</v>
      </c>
      <c r="N57" s="884">
        <f t="shared" si="34"/>
        <v>150</v>
      </c>
      <c r="O57" s="886">
        <v>0</v>
      </c>
      <c r="P57" s="887">
        <v>0</v>
      </c>
      <c r="Q57" s="608">
        <f t="shared" si="37"/>
        <v>150</v>
      </c>
    </row>
    <row r="58" spans="1:17" s="55" customFormat="1" ht="18.95" customHeight="1" x14ac:dyDescent="0.2">
      <c r="A58" s="53" t="s">
        <v>381</v>
      </c>
      <c r="B58" s="54" t="s">
        <v>386</v>
      </c>
      <c r="C58" s="886">
        <v>0</v>
      </c>
      <c r="D58" s="1117"/>
      <c r="E58" s="884">
        <f t="shared" si="35"/>
        <v>0</v>
      </c>
      <c r="F58" s="884"/>
      <c r="G58" s="884">
        <f t="shared" si="36"/>
        <v>0</v>
      </c>
      <c r="H58" s="884"/>
      <c r="I58" s="884">
        <f t="shared" si="32"/>
        <v>0</v>
      </c>
      <c r="J58" s="884"/>
      <c r="K58" s="884">
        <f t="shared" si="33"/>
        <v>0</v>
      </c>
      <c r="L58" s="884"/>
      <c r="M58" s="884">
        <f t="shared" si="33"/>
        <v>0</v>
      </c>
      <c r="N58" s="884">
        <f t="shared" si="34"/>
        <v>0</v>
      </c>
      <c r="O58" s="886">
        <v>0</v>
      </c>
      <c r="P58" s="887">
        <v>0</v>
      </c>
      <c r="Q58" s="608">
        <f t="shared" si="37"/>
        <v>0</v>
      </c>
    </row>
    <row r="59" spans="1:17" s="55" customFormat="1" ht="18.95" customHeight="1" x14ac:dyDescent="0.2">
      <c r="A59" s="1091" t="s">
        <v>382</v>
      </c>
      <c r="B59" s="1092" t="s">
        <v>387</v>
      </c>
      <c r="C59" s="888">
        <f>SUM(C60:C61)</f>
        <v>109161</v>
      </c>
      <c r="D59" s="1115">
        <f t="shared" ref="D59:P59" si="38">SUM(D60:D61)</f>
        <v>212</v>
      </c>
      <c r="E59" s="888">
        <f t="shared" si="38"/>
        <v>109373</v>
      </c>
      <c r="F59" s="888">
        <f t="shared" si="38"/>
        <v>254</v>
      </c>
      <c r="G59" s="888">
        <f t="shared" si="38"/>
        <v>109627</v>
      </c>
      <c r="H59" s="1088">
        <f>H60+H61</f>
        <v>147</v>
      </c>
      <c r="I59" s="884">
        <f t="shared" si="32"/>
        <v>109774</v>
      </c>
      <c r="J59" s="884">
        <f>J60+J61</f>
        <v>66</v>
      </c>
      <c r="K59" s="884">
        <f t="shared" si="33"/>
        <v>109840</v>
      </c>
      <c r="L59" s="884">
        <f>L60+L61</f>
        <v>66</v>
      </c>
      <c r="M59" s="884">
        <f t="shared" si="33"/>
        <v>109906</v>
      </c>
      <c r="N59" s="884">
        <f t="shared" si="34"/>
        <v>109906</v>
      </c>
      <c r="O59" s="888">
        <f t="shared" si="38"/>
        <v>0</v>
      </c>
      <c r="P59" s="889">
        <f t="shared" si="38"/>
        <v>0</v>
      </c>
      <c r="Q59" s="608">
        <f t="shared" si="37"/>
        <v>109906</v>
      </c>
    </row>
    <row r="60" spans="1:17" s="55" customFormat="1" ht="18" customHeight="1" x14ac:dyDescent="0.2">
      <c r="A60" s="1093" t="s">
        <v>447</v>
      </c>
      <c r="B60" s="21" t="s">
        <v>448</v>
      </c>
      <c r="C60" s="888"/>
      <c r="D60" s="1115">
        <v>1111</v>
      </c>
      <c r="E60" s="1088">
        <v>1111</v>
      </c>
      <c r="F60" s="1088"/>
      <c r="G60" s="1088">
        <f>E60+F60</f>
        <v>1111</v>
      </c>
      <c r="H60" s="1088"/>
      <c r="I60" s="884">
        <f t="shared" si="32"/>
        <v>1111</v>
      </c>
      <c r="J60" s="884"/>
      <c r="K60" s="884">
        <f t="shared" si="33"/>
        <v>1111</v>
      </c>
      <c r="L60" s="884"/>
      <c r="M60" s="884">
        <f t="shared" si="33"/>
        <v>1111</v>
      </c>
      <c r="N60" s="884">
        <f t="shared" si="34"/>
        <v>1111</v>
      </c>
      <c r="O60" s="888"/>
      <c r="P60" s="889"/>
      <c r="Q60" s="608">
        <f t="shared" si="37"/>
        <v>1111</v>
      </c>
    </row>
    <row r="61" spans="1:17" s="11" customFormat="1" ht="18" customHeight="1" thickBot="1" x14ac:dyDescent="0.25">
      <c r="A61" s="1094" t="s">
        <v>449</v>
      </c>
      <c r="B61" s="89" t="s">
        <v>450</v>
      </c>
      <c r="C61" s="888">
        <v>109161</v>
      </c>
      <c r="D61" s="1115">
        <f>391+228+2732-950-3300</f>
        <v>-899</v>
      </c>
      <c r="E61" s="1240">
        <f t="shared" si="35"/>
        <v>108262</v>
      </c>
      <c r="F61" s="1218">
        <v>254</v>
      </c>
      <c r="G61" s="1240">
        <f>E61+F61</f>
        <v>108516</v>
      </c>
      <c r="H61" s="1240">
        <v>147</v>
      </c>
      <c r="I61" s="1218">
        <f t="shared" si="32"/>
        <v>108663</v>
      </c>
      <c r="J61" s="1218">
        <v>66</v>
      </c>
      <c r="K61" s="1218">
        <f t="shared" si="33"/>
        <v>108729</v>
      </c>
      <c r="L61" s="1218">
        <v>66</v>
      </c>
      <c r="M61" s="884">
        <f t="shared" si="33"/>
        <v>108795</v>
      </c>
      <c r="N61" s="884">
        <f t="shared" si="34"/>
        <v>108795</v>
      </c>
      <c r="O61" s="888">
        <v>0</v>
      </c>
      <c r="P61" s="889">
        <v>0</v>
      </c>
      <c r="Q61" s="608">
        <f t="shared" si="37"/>
        <v>108795</v>
      </c>
    </row>
    <row r="62" spans="1:17" s="56" customFormat="1" ht="21" customHeight="1" thickBot="1" x14ac:dyDescent="0.25">
      <c r="A62" s="90"/>
      <c r="B62" s="92" t="s">
        <v>241</v>
      </c>
      <c r="C62" s="890">
        <f>SUM(C52:C59)</f>
        <v>109161</v>
      </c>
      <c r="D62" s="1118">
        <f t="shared" ref="D62:P62" si="39">SUM(D52:D59)</f>
        <v>564</v>
      </c>
      <c r="E62" s="890">
        <f t="shared" si="39"/>
        <v>109725</v>
      </c>
      <c r="F62" s="1238">
        <f t="shared" si="39"/>
        <v>384</v>
      </c>
      <c r="G62" s="1238">
        <f t="shared" si="39"/>
        <v>110109</v>
      </c>
      <c r="H62" s="1238">
        <f>SUM(H52:H59)</f>
        <v>147</v>
      </c>
      <c r="I62" s="890">
        <f t="shared" si="32"/>
        <v>110256</v>
      </c>
      <c r="J62" s="890">
        <f>SUM(J52:J59)</f>
        <v>329</v>
      </c>
      <c r="K62" s="890">
        <f>SUM(K52:K59)</f>
        <v>110585</v>
      </c>
      <c r="L62" s="890">
        <f>SUM(L52:L59)</f>
        <v>549</v>
      </c>
      <c r="M62" s="890">
        <f>SUM(M52:M59)</f>
        <v>111134</v>
      </c>
      <c r="N62" s="890">
        <f>SUM(N52:N59)</f>
        <v>111134</v>
      </c>
      <c r="O62" s="890">
        <f t="shared" si="39"/>
        <v>0</v>
      </c>
      <c r="P62" s="1139">
        <f t="shared" si="39"/>
        <v>0</v>
      </c>
      <c r="Q62" s="608">
        <f t="shared" si="37"/>
        <v>111134</v>
      </c>
    </row>
    <row r="63" spans="1:17" s="62" customFormat="1" ht="33" customHeight="1" thickBot="1" x14ac:dyDescent="0.25">
      <c r="A63" s="101" t="s">
        <v>267</v>
      </c>
      <c r="B63" s="1590" t="s">
        <v>491</v>
      </c>
      <c r="C63" s="1591"/>
      <c r="D63" s="1591"/>
      <c r="E63" s="1591"/>
      <c r="F63" s="1591"/>
      <c r="G63" s="1591"/>
      <c r="H63" s="1591"/>
      <c r="I63" s="1591"/>
      <c r="J63" s="1591"/>
      <c r="K63" s="1591"/>
      <c r="L63" s="1591"/>
      <c r="M63" s="1591"/>
      <c r="N63" s="1591"/>
      <c r="O63" s="1591"/>
      <c r="P63" s="1592"/>
      <c r="Q63" s="607"/>
    </row>
    <row r="64" spans="1:17" s="55" customFormat="1" ht="18.95" customHeight="1" x14ac:dyDescent="0.2">
      <c r="A64" s="86" t="s">
        <v>375</v>
      </c>
      <c r="B64" s="87" t="s">
        <v>373</v>
      </c>
      <c r="C64" s="884">
        <v>0</v>
      </c>
      <c r="D64" s="1116">
        <v>349</v>
      </c>
      <c r="E64" s="884">
        <f>C64+D64</f>
        <v>349</v>
      </c>
      <c r="F64" s="884">
        <v>164</v>
      </c>
      <c r="G64" s="884">
        <f>E64+F64</f>
        <v>513</v>
      </c>
      <c r="H64" s="884"/>
      <c r="I64" s="884">
        <f t="shared" ref="I64:I74" si="40">G64+H64</f>
        <v>513</v>
      </c>
      <c r="J64" s="884">
        <v>259</v>
      </c>
      <c r="K64" s="884">
        <f t="shared" ref="K64:M73" si="41">I64+J64</f>
        <v>772</v>
      </c>
      <c r="L64" s="884">
        <f>447</f>
        <v>447</v>
      </c>
      <c r="M64" s="884">
        <f t="shared" si="41"/>
        <v>1219</v>
      </c>
      <c r="N64" s="884">
        <f t="shared" ref="N64:N73" si="42">M64</f>
        <v>1219</v>
      </c>
      <c r="O64" s="884">
        <v>0</v>
      </c>
      <c r="P64" s="885">
        <v>0</v>
      </c>
      <c r="Q64" s="608">
        <f>SUM(N64:P64)</f>
        <v>1219</v>
      </c>
    </row>
    <row r="65" spans="1:17" s="55" customFormat="1" ht="18.95" customHeight="1" x14ac:dyDescent="0.2">
      <c r="A65" s="53" t="s">
        <v>376</v>
      </c>
      <c r="B65" s="54" t="s">
        <v>374</v>
      </c>
      <c r="C65" s="886">
        <v>0</v>
      </c>
      <c r="D65" s="1117"/>
      <c r="E65" s="884">
        <f t="shared" ref="E65:E73" si="43">C65+D65</f>
        <v>0</v>
      </c>
      <c r="F65" s="884"/>
      <c r="G65" s="884">
        <f t="shared" ref="G65:G70" si="44">E65+F65</f>
        <v>0</v>
      </c>
      <c r="H65" s="884"/>
      <c r="I65" s="884">
        <f t="shared" si="40"/>
        <v>0</v>
      </c>
      <c r="J65" s="884"/>
      <c r="K65" s="884">
        <f t="shared" si="41"/>
        <v>0</v>
      </c>
      <c r="L65" s="884"/>
      <c r="M65" s="884">
        <f t="shared" si="41"/>
        <v>0</v>
      </c>
      <c r="N65" s="884">
        <f t="shared" si="42"/>
        <v>0</v>
      </c>
      <c r="O65" s="886">
        <v>0</v>
      </c>
      <c r="P65" s="887">
        <v>0</v>
      </c>
      <c r="Q65" s="608">
        <f t="shared" ref="Q65:Q74" si="45">SUM(N65:P65)</f>
        <v>0</v>
      </c>
    </row>
    <row r="66" spans="1:17" s="55" customFormat="1" ht="18.95" customHeight="1" x14ac:dyDescent="0.2">
      <c r="A66" s="53" t="s">
        <v>377</v>
      </c>
      <c r="B66" s="54" t="s">
        <v>383</v>
      </c>
      <c r="C66" s="886">
        <v>0</v>
      </c>
      <c r="D66" s="1117"/>
      <c r="E66" s="884">
        <f t="shared" si="43"/>
        <v>0</v>
      </c>
      <c r="F66" s="884"/>
      <c r="G66" s="884">
        <f t="shared" si="44"/>
        <v>0</v>
      </c>
      <c r="H66" s="884"/>
      <c r="I66" s="884">
        <f t="shared" si="40"/>
        <v>0</v>
      </c>
      <c r="J66" s="884"/>
      <c r="K66" s="884">
        <f t="shared" si="41"/>
        <v>0</v>
      </c>
      <c r="L66" s="884"/>
      <c r="M66" s="884">
        <f t="shared" si="41"/>
        <v>0</v>
      </c>
      <c r="N66" s="884">
        <f t="shared" si="42"/>
        <v>0</v>
      </c>
      <c r="O66" s="886">
        <v>0</v>
      </c>
      <c r="P66" s="887">
        <v>0</v>
      </c>
      <c r="Q66" s="608">
        <f t="shared" si="45"/>
        <v>0</v>
      </c>
    </row>
    <row r="67" spans="1:17" s="55" customFormat="1" ht="18.95" customHeight="1" x14ac:dyDescent="0.2">
      <c r="A67" s="53" t="s">
        <v>378</v>
      </c>
      <c r="B67" s="54" t="s">
        <v>48</v>
      </c>
      <c r="C67" s="886">
        <v>0</v>
      </c>
      <c r="D67" s="1117"/>
      <c r="E67" s="884">
        <f t="shared" si="43"/>
        <v>0</v>
      </c>
      <c r="F67" s="884"/>
      <c r="G67" s="884">
        <f t="shared" si="44"/>
        <v>0</v>
      </c>
      <c r="H67" s="884"/>
      <c r="I67" s="884">
        <f t="shared" si="40"/>
        <v>0</v>
      </c>
      <c r="J67" s="884"/>
      <c r="K67" s="884">
        <f t="shared" si="41"/>
        <v>0</v>
      </c>
      <c r="L67" s="884">
        <v>77</v>
      </c>
      <c r="M67" s="884">
        <f t="shared" si="41"/>
        <v>77</v>
      </c>
      <c r="N67" s="884">
        <f t="shared" si="42"/>
        <v>77</v>
      </c>
      <c r="O67" s="886">
        <v>0</v>
      </c>
      <c r="P67" s="887">
        <v>0</v>
      </c>
      <c r="Q67" s="608">
        <f t="shared" si="45"/>
        <v>77</v>
      </c>
    </row>
    <row r="68" spans="1:17" s="55" customFormat="1" ht="18.95" customHeight="1" x14ac:dyDescent="0.2">
      <c r="A68" s="53" t="s">
        <v>379</v>
      </c>
      <c r="B68" s="54" t="s">
        <v>384</v>
      </c>
      <c r="C68" s="886">
        <v>0</v>
      </c>
      <c r="D68" s="1117"/>
      <c r="E68" s="884">
        <f t="shared" si="43"/>
        <v>0</v>
      </c>
      <c r="F68" s="884"/>
      <c r="G68" s="884">
        <f t="shared" si="44"/>
        <v>0</v>
      </c>
      <c r="H68" s="884"/>
      <c r="I68" s="884">
        <f t="shared" si="40"/>
        <v>0</v>
      </c>
      <c r="J68" s="884"/>
      <c r="K68" s="884">
        <f t="shared" si="41"/>
        <v>0</v>
      </c>
      <c r="L68" s="884"/>
      <c r="M68" s="884">
        <f t="shared" si="41"/>
        <v>0</v>
      </c>
      <c r="N68" s="884">
        <f t="shared" si="42"/>
        <v>0</v>
      </c>
      <c r="O68" s="886">
        <v>0</v>
      </c>
      <c r="P68" s="887">
        <v>0</v>
      </c>
      <c r="Q68" s="608">
        <f t="shared" si="45"/>
        <v>0</v>
      </c>
    </row>
    <row r="69" spans="1:17" s="55" customFormat="1" ht="18.95" customHeight="1" x14ac:dyDescent="0.2">
      <c r="A69" s="53" t="s">
        <v>380</v>
      </c>
      <c r="B69" s="54" t="s">
        <v>385</v>
      </c>
      <c r="C69" s="886">
        <v>0</v>
      </c>
      <c r="D69" s="1117"/>
      <c r="E69" s="884">
        <f t="shared" si="43"/>
        <v>0</v>
      </c>
      <c r="F69" s="884"/>
      <c r="G69" s="884">
        <f t="shared" si="44"/>
        <v>0</v>
      </c>
      <c r="H69" s="884"/>
      <c r="I69" s="884">
        <f t="shared" si="40"/>
        <v>0</v>
      </c>
      <c r="J69" s="884"/>
      <c r="K69" s="884">
        <f t="shared" si="41"/>
        <v>0</v>
      </c>
      <c r="L69" s="884"/>
      <c r="M69" s="884">
        <f t="shared" si="41"/>
        <v>0</v>
      </c>
      <c r="N69" s="884">
        <f t="shared" si="42"/>
        <v>0</v>
      </c>
      <c r="O69" s="886">
        <v>0</v>
      </c>
      <c r="P69" s="887">
        <v>0</v>
      </c>
      <c r="Q69" s="608">
        <f t="shared" si="45"/>
        <v>0</v>
      </c>
    </row>
    <row r="70" spans="1:17" s="55" customFormat="1" ht="18.95" customHeight="1" x14ac:dyDescent="0.2">
      <c r="A70" s="53" t="s">
        <v>381</v>
      </c>
      <c r="B70" s="54" t="s">
        <v>386</v>
      </c>
      <c r="C70" s="886">
        <v>0</v>
      </c>
      <c r="D70" s="1117"/>
      <c r="E70" s="884">
        <f t="shared" si="43"/>
        <v>0</v>
      </c>
      <c r="F70" s="884"/>
      <c r="G70" s="884">
        <f t="shared" si="44"/>
        <v>0</v>
      </c>
      <c r="H70" s="884"/>
      <c r="I70" s="884">
        <f t="shared" si="40"/>
        <v>0</v>
      </c>
      <c r="J70" s="884"/>
      <c r="K70" s="884">
        <f t="shared" si="41"/>
        <v>0</v>
      </c>
      <c r="L70" s="884"/>
      <c r="M70" s="884">
        <f t="shared" si="41"/>
        <v>0</v>
      </c>
      <c r="N70" s="884">
        <f t="shared" si="42"/>
        <v>0</v>
      </c>
      <c r="O70" s="886">
        <v>0</v>
      </c>
      <c r="P70" s="887">
        <v>0</v>
      </c>
      <c r="Q70" s="608">
        <f t="shared" si="45"/>
        <v>0</v>
      </c>
    </row>
    <row r="71" spans="1:17" s="55" customFormat="1" ht="18.95" customHeight="1" x14ac:dyDescent="0.2">
      <c r="A71" s="1091" t="s">
        <v>382</v>
      </c>
      <c r="B71" s="1092" t="s">
        <v>387</v>
      </c>
      <c r="C71" s="888">
        <f>SUM(C72:C73)</f>
        <v>96191</v>
      </c>
      <c r="D71" s="1115">
        <f t="shared" ref="D71:P71" si="46">SUM(D72:D73)</f>
        <v>392</v>
      </c>
      <c r="E71" s="888">
        <f t="shared" si="46"/>
        <v>96583</v>
      </c>
      <c r="F71" s="888">
        <f t="shared" si="46"/>
        <v>296</v>
      </c>
      <c r="G71" s="888">
        <f t="shared" si="46"/>
        <v>96879</v>
      </c>
      <c r="H71" s="1088">
        <f>H72+H73</f>
        <v>193</v>
      </c>
      <c r="I71" s="884">
        <f t="shared" si="40"/>
        <v>97072</v>
      </c>
      <c r="J71" s="884">
        <f>J72+J73</f>
        <v>94</v>
      </c>
      <c r="K71" s="884">
        <f t="shared" si="41"/>
        <v>97166</v>
      </c>
      <c r="L71" s="884">
        <f>L72+L73</f>
        <v>94</v>
      </c>
      <c r="M71" s="884">
        <f t="shared" si="41"/>
        <v>97260</v>
      </c>
      <c r="N71" s="884">
        <f t="shared" si="42"/>
        <v>97260</v>
      </c>
      <c r="O71" s="888">
        <f t="shared" si="46"/>
        <v>0</v>
      </c>
      <c r="P71" s="889">
        <f t="shared" si="46"/>
        <v>0</v>
      </c>
      <c r="Q71" s="608">
        <f t="shared" si="45"/>
        <v>97260</v>
      </c>
    </row>
    <row r="72" spans="1:17" s="55" customFormat="1" ht="18" customHeight="1" x14ac:dyDescent="0.2">
      <c r="A72" s="1093" t="s">
        <v>447</v>
      </c>
      <c r="B72" s="21" t="s">
        <v>448</v>
      </c>
      <c r="C72" s="888"/>
      <c r="D72" s="1115">
        <v>965</v>
      </c>
      <c r="E72" s="1088">
        <v>965</v>
      </c>
      <c r="F72" s="1088"/>
      <c r="G72" s="1088">
        <f>E72+F72</f>
        <v>965</v>
      </c>
      <c r="H72" s="1088"/>
      <c r="I72" s="884">
        <f t="shared" si="40"/>
        <v>965</v>
      </c>
      <c r="J72" s="884"/>
      <c r="K72" s="884">
        <f t="shared" si="41"/>
        <v>965</v>
      </c>
      <c r="L72" s="884"/>
      <c r="M72" s="884">
        <f t="shared" si="41"/>
        <v>965</v>
      </c>
      <c r="N72" s="884">
        <f t="shared" si="42"/>
        <v>965</v>
      </c>
      <c r="O72" s="888"/>
      <c r="P72" s="889"/>
      <c r="Q72" s="608">
        <f t="shared" si="45"/>
        <v>965</v>
      </c>
    </row>
    <row r="73" spans="1:17" s="11" customFormat="1" ht="18" customHeight="1" thickBot="1" x14ac:dyDescent="0.25">
      <c r="A73" s="1094" t="s">
        <v>449</v>
      </c>
      <c r="B73" s="89" t="s">
        <v>450</v>
      </c>
      <c r="C73" s="888">
        <v>96191</v>
      </c>
      <c r="D73" s="1115">
        <f>502+666-741-1000</f>
        <v>-573</v>
      </c>
      <c r="E73" s="1240">
        <f t="shared" si="43"/>
        <v>95618</v>
      </c>
      <c r="F73" s="1240">
        <v>296</v>
      </c>
      <c r="G73" s="1240">
        <f>E73+F73</f>
        <v>95914</v>
      </c>
      <c r="H73" s="1218">
        <v>193</v>
      </c>
      <c r="I73" s="1218">
        <f t="shared" si="40"/>
        <v>96107</v>
      </c>
      <c r="J73" s="1218">
        <v>94</v>
      </c>
      <c r="K73" s="1218">
        <f t="shared" si="41"/>
        <v>96201</v>
      </c>
      <c r="L73" s="1218">
        <v>94</v>
      </c>
      <c r="M73" s="884">
        <f t="shared" si="41"/>
        <v>96295</v>
      </c>
      <c r="N73" s="884">
        <f t="shared" si="42"/>
        <v>96295</v>
      </c>
      <c r="O73" s="888">
        <v>0</v>
      </c>
      <c r="P73" s="889">
        <v>0</v>
      </c>
      <c r="Q73" s="608">
        <f t="shared" si="45"/>
        <v>96295</v>
      </c>
    </row>
    <row r="74" spans="1:17" s="56" customFormat="1" ht="21" customHeight="1" thickBot="1" x14ac:dyDescent="0.25">
      <c r="A74" s="90"/>
      <c r="B74" s="92" t="s">
        <v>241</v>
      </c>
      <c r="C74" s="890">
        <f>SUM(C64:C71)</f>
        <v>96191</v>
      </c>
      <c r="D74" s="1118">
        <f t="shared" ref="D74:P74" si="47">SUM(D64:D71)</f>
        <v>741</v>
      </c>
      <c r="E74" s="890">
        <f t="shared" si="47"/>
        <v>96932</v>
      </c>
      <c r="F74" s="890">
        <f t="shared" si="47"/>
        <v>460</v>
      </c>
      <c r="G74" s="1238">
        <f t="shared" si="47"/>
        <v>97392</v>
      </c>
      <c r="H74" s="1238">
        <f>SUM(H64:H71)</f>
        <v>193</v>
      </c>
      <c r="I74" s="890">
        <f t="shared" si="40"/>
        <v>97585</v>
      </c>
      <c r="J74" s="890">
        <f>SUM(J64:J71)</f>
        <v>353</v>
      </c>
      <c r="K74" s="890">
        <f>SUM(K64:K71)</f>
        <v>97938</v>
      </c>
      <c r="L74" s="890">
        <f>SUM(L64:L71)</f>
        <v>618</v>
      </c>
      <c r="M74" s="890">
        <f>SUM(M64:M71)</f>
        <v>98556</v>
      </c>
      <c r="N74" s="890">
        <f>SUM(N64:N71)</f>
        <v>98556</v>
      </c>
      <c r="O74" s="890">
        <f t="shared" si="47"/>
        <v>0</v>
      </c>
      <c r="P74" s="1139">
        <f t="shared" si="47"/>
        <v>0</v>
      </c>
      <c r="Q74" s="608">
        <f t="shared" si="45"/>
        <v>98556</v>
      </c>
    </row>
    <row r="75" spans="1:17" s="62" customFormat="1" ht="33" customHeight="1" thickBot="1" x14ac:dyDescent="0.25">
      <c r="A75" s="102" t="s">
        <v>268</v>
      </c>
      <c r="B75" s="1597" t="s">
        <v>456</v>
      </c>
      <c r="C75" s="1598"/>
      <c r="D75" s="1598"/>
      <c r="E75" s="1598"/>
      <c r="F75" s="1598"/>
      <c r="G75" s="1598"/>
      <c r="H75" s="1598"/>
      <c r="I75" s="1598"/>
      <c r="J75" s="1598"/>
      <c r="K75" s="1598"/>
      <c r="L75" s="1598"/>
      <c r="M75" s="1598"/>
      <c r="N75" s="1598"/>
      <c r="O75" s="1598"/>
      <c r="P75" s="1599"/>
      <c r="Q75" s="607"/>
    </row>
    <row r="76" spans="1:17" s="55" customFormat="1" ht="18.95" customHeight="1" x14ac:dyDescent="0.2">
      <c r="A76" s="86" t="s">
        <v>375</v>
      </c>
      <c r="B76" s="87" t="s">
        <v>373</v>
      </c>
      <c r="C76" s="884">
        <v>0</v>
      </c>
      <c r="D76" s="1116"/>
      <c r="E76" s="884">
        <f>C76+D76</f>
        <v>0</v>
      </c>
      <c r="F76" s="884">
        <f t="shared" ref="F76:F82" si="48">F88+F100+F112+F124+F136+F148</f>
        <v>9753</v>
      </c>
      <c r="G76" s="884">
        <f>E76+F76</f>
        <v>9753</v>
      </c>
      <c r="H76" s="884">
        <f>H88+H100+H112+H124+H136+H148</f>
        <v>11699</v>
      </c>
      <c r="I76" s="884">
        <f>I88+I100+I112+I124+I136+I148</f>
        <v>31942</v>
      </c>
      <c r="J76" s="884">
        <f>J88+J100+J112+J124+J136+J148</f>
        <v>6203</v>
      </c>
      <c r="K76" s="884">
        <f t="shared" ref="K76:M85" si="49">I76+J76</f>
        <v>38145</v>
      </c>
      <c r="L76" s="884">
        <f t="shared" ref="L76" si="50">L88+L100+L112+L124+L136+L148</f>
        <v>17097</v>
      </c>
      <c r="M76" s="884">
        <f t="shared" si="49"/>
        <v>55242</v>
      </c>
      <c r="N76" s="884">
        <f>M76</f>
        <v>55242</v>
      </c>
      <c r="O76" s="884">
        <v>0</v>
      </c>
      <c r="P76" s="885">
        <v>0</v>
      </c>
      <c r="Q76" s="608">
        <f>SUM(N76:P76)</f>
        <v>55242</v>
      </c>
    </row>
    <row r="77" spans="1:17" s="55" customFormat="1" ht="18.95" customHeight="1" x14ac:dyDescent="0.2">
      <c r="A77" s="53" t="s">
        <v>376</v>
      </c>
      <c r="B77" s="54" t="s">
        <v>374</v>
      </c>
      <c r="C77" s="886">
        <v>0</v>
      </c>
      <c r="D77" s="1117"/>
      <c r="E77" s="884">
        <f t="shared" ref="E77:E85" si="51">C77+D77</f>
        <v>0</v>
      </c>
      <c r="F77" s="884">
        <f t="shared" si="48"/>
        <v>0</v>
      </c>
      <c r="G77" s="884">
        <f t="shared" ref="G77:G82" si="52">E77+F77</f>
        <v>0</v>
      </c>
      <c r="H77" s="884">
        <f t="shared" ref="H77:H86" si="53">H89+H101+H113+H125+H137+H149</f>
        <v>0</v>
      </c>
      <c r="I77" s="884">
        <f t="shared" ref="I77:I86" si="54">I89+I101+I113+I125+I137+I149</f>
        <v>0</v>
      </c>
      <c r="J77" s="884">
        <f t="shared" ref="J77:L82" si="55">J89+J101+J113+J125+J137+J149</f>
        <v>0</v>
      </c>
      <c r="K77" s="884">
        <f t="shared" si="49"/>
        <v>0</v>
      </c>
      <c r="L77" s="884">
        <f t="shared" ref="L77" si="56">L89+L101+L113+L125+L137+L149</f>
        <v>0</v>
      </c>
      <c r="M77" s="884">
        <f t="shared" si="49"/>
        <v>0</v>
      </c>
      <c r="N77" s="884">
        <f>M77</f>
        <v>0</v>
      </c>
      <c r="O77" s="886">
        <v>0</v>
      </c>
      <c r="P77" s="887">
        <v>0</v>
      </c>
      <c r="Q77" s="608">
        <f t="shared" ref="Q77:Q86" si="57">SUM(N77:P77)</f>
        <v>0</v>
      </c>
    </row>
    <row r="78" spans="1:17" s="55" customFormat="1" ht="18.95" customHeight="1" x14ac:dyDescent="0.2">
      <c r="A78" s="53" t="s">
        <v>377</v>
      </c>
      <c r="B78" s="54" t="s">
        <v>383</v>
      </c>
      <c r="C78" s="886">
        <v>0</v>
      </c>
      <c r="D78" s="1117"/>
      <c r="E78" s="884">
        <f t="shared" si="51"/>
        <v>0</v>
      </c>
      <c r="F78" s="884">
        <f t="shared" si="48"/>
        <v>0</v>
      </c>
      <c r="G78" s="884">
        <f t="shared" si="52"/>
        <v>0</v>
      </c>
      <c r="H78" s="884">
        <f t="shared" si="53"/>
        <v>0</v>
      </c>
      <c r="I78" s="884">
        <f t="shared" si="54"/>
        <v>0</v>
      </c>
      <c r="J78" s="884">
        <f t="shared" si="55"/>
        <v>0</v>
      </c>
      <c r="K78" s="884">
        <f t="shared" si="49"/>
        <v>0</v>
      </c>
      <c r="L78" s="884">
        <f t="shared" ref="L78" si="58">L90+L102+L114+L126+L138+L150</f>
        <v>0</v>
      </c>
      <c r="M78" s="884">
        <f t="shared" si="49"/>
        <v>0</v>
      </c>
      <c r="N78" s="884">
        <f>M78</f>
        <v>0</v>
      </c>
      <c r="O78" s="886">
        <v>0</v>
      </c>
      <c r="P78" s="887">
        <v>0</v>
      </c>
      <c r="Q78" s="608">
        <f t="shared" si="57"/>
        <v>0</v>
      </c>
    </row>
    <row r="79" spans="1:17" s="55" customFormat="1" ht="18.95" customHeight="1" x14ac:dyDescent="0.2">
      <c r="A79" s="53" t="s">
        <v>378</v>
      </c>
      <c r="B79" s="54" t="s">
        <v>48</v>
      </c>
      <c r="C79" s="886">
        <v>106000</v>
      </c>
      <c r="D79" s="1117">
        <v>10490</v>
      </c>
      <c r="E79" s="884">
        <f t="shared" si="51"/>
        <v>116490</v>
      </c>
      <c r="F79" s="884">
        <f t="shared" si="48"/>
        <v>2000</v>
      </c>
      <c r="G79" s="884">
        <f t="shared" si="52"/>
        <v>118490</v>
      </c>
      <c r="H79" s="884">
        <f t="shared" si="53"/>
        <v>1300</v>
      </c>
      <c r="I79" s="884">
        <f t="shared" si="54"/>
        <v>109300</v>
      </c>
      <c r="J79" s="884">
        <f t="shared" si="55"/>
        <v>3000</v>
      </c>
      <c r="K79" s="884">
        <f t="shared" si="49"/>
        <v>112300</v>
      </c>
      <c r="L79" s="884">
        <f t="shared" si="55"/>
        <v>6724</v>
      </c>
      <c r="M79" s="884">
        <f t="shared" si="49"/>
        <v>119024</v>
      </c>
      <c r="N79" s="884">
        <f>M79-O79</f>
        <v>109824</v>
      </c>
      <c r="O79" s="886">
        <f>O115</f>
        <v>9200</v>
      </c>
      <c r="P79" s="887">
        <v>0</v>
      </c>
      <c r="Q79" s="608">
        <f t="shared" si="57"/>
        <v>119024</v>
      </c>
    </row>
    <row r="80" spans="1:17" s="55" customFormat="1" ht="18.95" customHeight="1" x14ac:dyDescent="0.2">
      <c r="A80" s="53" t="s">
        <v>379</v>
      </c>
      <c r="B80" s="54" t="s">
        <v>384</v>
      </c>
      <c r="C80" s="886">
        <v>0</v>
      </c>
      <c r="D80" s="1117"/>
      <c r="E80" s="884">
        <f t="shared" si="51"/>
        <v>0</v>
      </c>
      <c r="F80" s="884">
        <f t="shared" si="48"/>
        <v>0</v>
      </c>
      <c r="G80" s="884">
        <f t="shared" si="52"/>
        <v>0</v>
      </c>
      <c r="H80" s="884">
        <f t="shared" si="53"/>
        <v>0</v>
      </c>
      <c r="I80" s="884">
        <f t="shared" si="54"/>
        <v>0</v>
      </c>
      <c r="J80" s="884">
        <f t="shared" si="55"/>
        <v>0</v>
      </c>
      <c r="K80" s="884">
        <f t="shared" si="49"/>
        <v>0</v>
      </c>
      <c r="L80" s="884">
        <f t="shared" si="55"/>
        <v>0</v>
      </c>
      <c r="M80" s="884">
        <f t="shared" si="49"/>
        <v>0</v>
      </c>
      <c r="N80" s="884">
        <f>M80</f>
        <v>0</v>
      </c>
      <c r="O80" s="886">
        <f t="shared" ref="O80:O85" si="59">O116</f>
        <v>0</v>
      </c>
      <c r="P80" s="887">
        <v>0</v>
      </c>
      <c r="Q80" s="608">
        <f t="shared" si="57"/>
        <v>0</v>
      </c>
    </row>
    <row r="81" spans="1:17" s="55" customFormat="1" ht="18.95" customHeight="1" x14ac:dyDescent="0.2">
      <c r="A81" s="53" t="s">
        <v>380</v>
      </c>
      <c r="B81" s="54" t="s">
        <v>385</v>
      </c>
      <c r="C81" s="886">
        <v>0</v>
      </c>
      <c r="D81" s="1117"/>
      <c r="E81" s="884">
        <f t="shared" si="51"/>
        <v>0</v>
      </c>
      <c r="F81" s="884">
        <f t="shared" si="48"/>
        <v>0</v>
      </c>
      <c r="G81" s="884">
        <f t="shared" si="52"/>
        <v>0</v>
      </c>
      <c r="H81" s="884">
        <f t="shared" si="53"/>
        <v>0</v>
      </c>
      <c r="I81" s="884">
        <f t="shared" si="54"/>
        <v>0</v>
      </c>
      <c r="J81" s="884">
        <f t="shared" si="55"/>
        <v>0</v>
      </c>
      <c r="K81" s="884">
        <f t="shared" si="49"/>
        <v>0</v>
      </c>
      <c r="L81" s="884">
        <f t="shared" si="55"/>
        <v>0</v>
      </c>
      <c r="M81" s="884">
        <f t="shared" si="49"/>
        <v>0</v>
      </c>
      <c r="N81" s="884">
        <f>M81</f>
        <v>0</v>
      </c>
      <c r="O81" s="886">
        <f t="shared" si="59"/>
        <v>0</v>
      </c>
      <c r="P81" s="887">
        <v>0</v>
      </c>
      <c r="Q81" s="608">
        <f t="shared" si="57"/>
        <v>0</v>
      </c>
    </row>
    <row r="82" spans="1:17" s="55" customFormat="1" ht="18.95" customHeight="1" x14ac:dyDescent="0.2">
      <c r="A82" s="53" t="s">
        <v>381</v>
      </c>
      <c r="B82" s="54" t="s">
        <v>386</v>
      </c>
      <c r="C82" s="886">
        <v>0</v>
      </c>
      <c r="D82" s="1117"/>
      <c r="E82" s="884">
        <f t="shared" si="51"/>
        <v>0</v>
      </c>
      <c r="F82" s="884">
        <f t="shared" si="48"/>
        <v>0</v>
      </c>
      <c r="G82" s="884">
        <f t="shared" si="52"/>
        <v>0</v>
      </c>
      <c r="H82" s="884">
        <f t="shared" si="53"/>
        <v>0</v>
      </c>
      <c r="I82" s="884">
        <f t="shared" si="54"/>
        <v>0</v>
      </c>
      <c r="J82" s="884">
        <f t="shared" si="55"/>
        <v>0</v>
      </c>
      <c r="K82" s="884">
        <f t="shared" si="49"/>
        <v>0</v>
      </c>
      <c r="L82" s="884">
        <f t="shared" si="55"/>
        <v>0</v>
      </c>
      <c r="M82" s="884">
        <f t="shared" si="49"/>
        <v>0</v>
      </c>
      <c r="N82" s="884">
        <f>M82</f>
        <v>0</v>
      </c>
      <c r="O82" s="886">
        <f t="shared" si="59"/>
        <v>0</v>
      </c>
      <c r="P82" s="887">
        <v>0</v>
      </c>
      <c r="Q82" s="608">
        <f t="shared" si="57"/>
        <v>0</v>
      </c>
    </row>
    <row r="83" spans="1:17" s="55" customFormat="1" ht="18.95" customHeight="1" x14ac:dyDescent="0.2">
      <c r="A83" s="1091" t="s">
        <v>382</v>
      </c>
      <c r="B83" s="1092" t="s">
        <v>387</v>
      </c>
      <c r="C83" s="888">
        <f>SUM(C84:C85)</f>
        <v>427761</v>
      </c>
      <c r="D83" s="1115">
        <f t="shared" ref="D83:P83" si="60">SUM(D84:D85)</f>
        <v>17174</v>
      </c>
      <c r="E83" s="888">
        <f t="shared" si="60"/>
        <v>444935</v>
      </c>
      <c r="F83" s="888">
        <f t="shared" si="60"/>
        <v>1671</v>
      </c>
      <c r="G83" s="888">
        <f t="shared" si="60"/>
        <v>446606</v>
      </c>
      <c r="H83" s="884">
        <f t="shared" si="53"/>
        <v>1058</v>
      </c>
      <c r="I83" s="884">
        <f t="shared" si="54"/>
        <v>447664</v>
      </c>
      <c r="J83" s="884">
        <f>J95+J107+J119+J131++J143+J155</f>
        <v>524</v>
      </c>
      <c r="K83" s="884">
        <f t="shared" si="49"/>
        <v>448188</v>
      </c>
      <c r="L83" s="884">
        <f>L95+L107+L119+L131++L143+L155</f>
        <v>540</v>
      </c>
      <c r="M83" s="884">
        <f t="shared" si="49"/>
        <v>448728</v>
      </c>
      <c r="N83" s="884">
        <f>M83-O83</f>
        <v>443254</v>
      </c>
      <c r="O83" s="886">
        <f t="shared" si="59"/>
        <v>5474</v>
      </c>
      <c r="P83" s="889">
        <f t="shared" si="60"/>
        <v>0</v>
      </c>
      <c r="Q83" s="608">
        <f t="shared" si="57"/>
        <v>448728</v>
      </c>
    </row>
    <row r="84" spans="1:17" s="55" customFormat="1" ht="18" customHeight="1" x14ac:dyDescent="0.2">
      <c r="A84" s="1093" t="s">
        <v>447</v>
      </c>
      <c r="B84" s="21" t="s">
        <v>448</v>
      </c>
      <c r="C84" s="888"/>
      <c r="D84" s="1115">
        <f>D96+D108+D120+D132+D144+D156</f>
        <v>18825</v>
      </c>
      <c r="E84" s="1088">
        <f>E96+E108+E120+E132+E144+E156</f>
        <v>18825</v>
      </c>
      <c r="F84" s="1088"/>
      <c r="G84" s="1088">
        <f>E84+F84</f>
        <v>18825</v>
      </c>
      <c r="H84" s="884">
        <f t="shared" si="53"/>
        <v>0</v>
      </c>
      <c r="I84" s="884">
        <f t="shared" si="54"/>
        <v>18825</v>
      </c>
      <c r="J84" s="884">
        <f>J96+J108+J120+J132+J144+J156</f>
        <v>0</v>
      </c>
      <c r="K84" s="884">
        <f t="shared" si="49"/>
        <v>18825</v>
      </c>
      <c r="L84" s="884">
        <f>L96+L108+L120+L132+L144+L156</f>
        <v>0</v>
      </c>
      <c r="M84" s="884">
        <f t="shared" si="49"/>
        <v>18825</v>
      </c>
      <c r="N84" s="884">
        <f>M84-O84</f>
        <v>14400</v>
      </c>
      <c r="O84" s="886">
        <f t="shared" si="59"/>
        <v>4425</v>
      </c>
      <c r="P84" s="889"/>
      <c r="Q84" s="608">
        <f t="shared" si="57"/>
        <v>18825</v>
      </c>
    </row>
    <row r="85" spans="1:17" s="11" customFormat="1" ht="18" customHeight="1" thickBot="1" x14ac:dyDescent="0.25">
      <c r="A85" s="1094" t="s">
        <v>449</v>
      </c>
      <c r="B85" s="89" t="s">
        <v>450</v>
      </c>
      <c r="C85" s="888">
        <v>427761</v>
      </c>
      <c r="D85" s="1115">
        <f>D97+D109+D121+D133+D145+D157</f>
        <v>-1651</v>
      </c>
      <c r="E85" s="1240">
        <f t="shared" si="51"/>
        <v>426110</v>
      </c>
      <c r="F85" s="1240">
        <f>F97+F109+F133+F145+F157</f>
        <v>1671</v>
      </c>
      <c r="G85" s="1240">
        <f>E85+F85</f>
        <v>427781</v>
      </c>
      <c r="H85" s="1218">
        <f t="shared" si="53"/>
        <v>1058</v>
      </c>
      <c r="I85" s="1218">
        <f t="shared" si="54"/>
        <v>428839</v>
      </c>
      <c r="J85" s="1218">
        <f>J97+J109+J121+J133+J145+J157</f>
        <v>524</v>
      </c>
      <c r="K85" s="1218">
        <f t="shared" si="49"/>
        <v>429363</v>
      </c>
      <c r="L85" s="1218">
        <f>L97+L109+L121+L133+L145+L157</f>
        <v>540</v>
      </c>
      <c r="M85" s="1218">
        <f t="shared" si="49"/>
        <v>429903</v>
      </c>
      <c r="N85" s="884">
        <f>M85-O85</f>
        <v>428854</v>
      </c>
      <c r="O85" s="888">
        <f t="shared" si="59"/>
        <v>1049</v>
      </c>
      <c r="P85" s="889">
        <v>0</v>
      </c>
      <c r="Q85" s="608">
        <f t="shared" si="57"/>
        <v>429903</v>
      </c>
    </row>
    <row r="86" spans="1:17" s="56" customFormat="1" ht="21" customHeight="1" thickBot="1" x14ac:dyDescent="0.25">
      <c r="A86" s="90"/>
      <c r="B86" s="92" t="s">
        <v>241</v>
      </c>
      <c r="C86" s="890">
        <f>SUM(C76:C83)</f>
        <v>533761</v>
      </c>
      <c r="D86" s="1118">
        <f t="shared" ref="D86:P86" si="61">SUM(D76:D83)</f>
        <v>27664</v>
      </c>
      <c r="E86" s="890">
        <f t="shared" si="61"/>
        <v>561425</v>
      </c>
      <c r="F86" s="890">
        <f t="shared" si="61"/>
        <v>13424</v>
      </c>
      <c r="G86" s="1238">
        <f t="shared" si="61"/>
        <v>574849</v>
      </c>
      <c r="H86" s="890">
        <f t="shared" si="53"/>
        <v>14057</v>
      </c>
      <c r="I86" s="890">
        <f t="shared" si="54"/>
        <v>588906</v>
      </c>
      <c r="J86" s="890">
        <f>SUM(J76:J83)</f>
        <v>9727</v>
      </c>
      <c r="K86" s="890">
        <f>SUM(K76:K83)</f>
        <v>598633</v>
      </c>
      <c r="L86" s="890">
        <f>SUM(L76:L83)</f>
        <v>24361</v>
      </c>
      <c r="M86" s="890">
        <f>SUM(M76:M83)</f>
        <v>622994</v>
      </c>
      <c r="N86" s="890">
        <f t="shared" si="61"/>
        <v>608320</v>
      </c>
      <c r="O86" s="890">
        <f t="shared" si="61"/>
        <v>14674</v>
      </c>
      <c r="P86" s="1139">
        <f t="shared" si="61"/>
        <v>0</v>
      </c>
      <c r="Q86" s="608">
        <f t="shared" si="57"/>
        <v>622994</v>
      </c>
    </row>
    <row r="87" spans="1:17" s="61" customFormat="1" ht="29.1" customHeight="1" x14ac:dyDescent="0.2">
      <c r="A87" s="79"/>
      <c r="B87" s="1581" t="s">
        <v>7</v>
      </c>
      <c r="C87" s="1593"/>
      <c r="D87" s="1593"/>
      <c r="E87" s="1593"/>
      <c r="F87" s="1593"/>
      <c r="G87" s="1593"/>
      <c r="H87" s="1593"/>
      <c r="I87" s="1593"/>
      <c r="J87" s="1593"/>
      <c r="K87" s="1593"/>
      <c r="L87" s="1593"/>
      <c r="M87" s="1593"/>
      <c r="N87" s="1593"/>
      <c r="O87" s="1593"/>
      <c r="P87" s="1594"/>
      <c r="Q87" s="607"/>
    </row>
    <row r="88" spans="1:17" s="55" customFormat="1" ht="18.95" customHeight="1" x14ac:dyDescent="0.2">
      <c r="A88" s="53" t="s">
        <v>375</v>
      </c>
      <c r="B88" s="83" t="s">
        <v>373</v>
      </c>
      <c r="C88" s="891">
        <v>0</v>
      </c>
      <c r="D88" s="1121"/>
      <c r="E88" s="891">
        <f>C88+D88</f>
        <v>0</v>
      </c>
      <c r="F88" s="891"/>
      <c r="G88" s="891">
        <f>E88+F88</f>
        <v>0</v>
      </c>
      <c r="H88" s="891"/>
      <c r="I88" s="884">
        <f t="shared" ref="I88:I98" si="62">G88+H88</f>
        <v>0</v>
      </c>
      <c r="J88" s="884"/>
      <c r="K88" s="884">
        <f t="shared" ref="K88:M97" si="63">I88+J88</f>
        <v>0</v>
      </c>
      <c r="L88" s="884"/>
      <c r="M88" s="884">
        <f t="shared" si="63"/>
        <v>0</v>
      </c>
      <c r="N88" s="891">
        <f t="shared" ref="N88:N97" si="64">M88</f>
        <v>0</v>
      </c>
      <c r="O88" s="891">
        <v>0</v>
      </c>
      <c r="P88" s="892">
        <v>0</v>
      </c>
      <c r="Q88" s="608">
        <f>SUM(N88:P88)</f>
        <v>0</v>
      </c>
    </row>
    <row r="89" spans="1:17" s="55" customFormat="1" ht="18.95" customHeight="1" x14ac:dyDescent="0.2">
      <c r="A89" s="53" t="s">
        <v>376</v>
      </c>
      <c r="B89" s="83" t="s">
        <v>374</v>
      </c>
      <c r="C89" s="891">
        <v>0</v>
      </c>
      <c r="D89" s="1121"/>
      <c r="E89" s="891">
        <f t="shared" ref="E89:E94" si="65">C89+D89</f>
        <v>0</v>
      </c>
      <c r="F89" s="891"/>
      <c r="G89" s="891">
        <f t="shared" ref="G89:G97" si="66">E89+F89</f>
        <v>0</v>
      </c>
      <c r="H89" s="891"/>
      <c r="I89" s="884">
        <f t="shared" si="62"/>
        <v>0</v>
      </c>
      <c r="J89" s="884"/>
      <c r="K89" s="884">
        <f t="shared" si="63"/>
        <v>0</v>
      </c>
      <c r="L89" s="884"/>
      <c r="M89" s="884">
        <f t="shared" si="63"/>
        <v>0</v>
      </c>
      <c r="N89" s="891">
        <f t="shared" si="64"/>
        <v>0</v>
      </c>
      <c r="O89" s="891">
        <v>0</v>
      </c>
      <c r="P89" s="892">
        <v>0</v>
      </c>
      <c r="Q89" s="608">
        <f t="shared" ref="Q89:Q98" si="67">SUM(N89:P89)</f>
        <v>0</v>
      </c>
    </row>
    <row r="90" spans="1:17" s="55" customFormat="1" ht="18.95" customHeight="1" x14ac:dyDescent="0.2">
      <c r="A90" s="53" t="s">
        <v>377</v>
      </c>
      <c r="B90" s="83" t="s">
        <v>383</v>
      </c>
      <c r="C90" s="891">
        <v>0</v>
      </c>
      <c r="D90" s="1121"/>
      <c r="E90" s="891">
        <f t="shared" si="65"/>
        <v>0</v>
      </c>
      <c r="F90" s="891"/>
      <c r="G90" s="891">
        <f t="shared" si="66"/>
        <v>0</v>
      </c>
      <c r="H90" s="891"/>
      <c r="I90" s="884">
        <f t="shared" si="62"/>
        <v>0</v>
      </c>
      <c r="J90" s="884"/>
      <c r="K90" s="884">
        <f t="shared" si="63"/>
        <v>0</v>
      </c>
      <c r="L90" s="884"/>
      <c r="M90" s="884">
        <f t="shared" si="63"/>
        <v>0</v>
      </c>
      <c r="N90" s="891">
        <f t="shared" si="64"/>
        <v>0</v>
      </c>
      <c r="O90" s="891">
        <v>0</v>
      </c>
      <c r="P90" s="892">
        <v>0</v>
      </c>
      <c r="Q90" s="608">
        <f t="shared" si="67"/>
        <v>0</v>
      </c>
    </row>
    <row r="91" spans="1:17" s="55" customFormat="1" ht="18.95" customHeight="1" x14ac:dyDescent="0.2">
      <c r="A91" s="53" t="s">
        <v>378</v>
      </c>
      <c r="B91" s="83" t="s">
        <v>48</v>
      </c>
      <c r="C91" s="891">
        <v>800</v>
      </c>
      <c r="D91" s="1121"/>
      <c r="E91" s="891">
        <f t="shared" si="65"/>
        <v>800</v>
      </c>
      <c r="F91" s="891">
        <v>2000</v>
      </c>
      <c r="G91" s="891">
        <f t="shared" si="66"/>
        <v>2800</v>
      </c>
      <c r="H91" s="891">
        <v>1300</v>
      </c>
      <c r="I91" s="884">
        <f t="shared" si="62"/>
        <v>4100</v>
      </c>
      <c r="J91" s="884">
        <v>3000</v>
      </c>
      <c r="K91" s="884">
        <f t="shared" si="63"/>
        <v>7100</v>
      </c>
      <c r="L91" s="884">
        <v>350</v>
      </c>
      <c r="M91" s="884">
        <f t="shared" si="63"/>
        <v>7450</v>
      </c>
      <c r="N91" s="891">
        <f t="shared" si="64"/>
        <v>7450</v>
      </c>
      <c r="O91" s="891">
        <v>0</v>
      </c>
      <c r="P91" s="892">
        <v>0</v>
      </c>
      <c r="Q91" s="608">
        <f t="shared" si="67"/>
        <v>7450</v>
      </c>
    </row>
    <row r="92" spans="1:17" s="55" customFormat="1" ht="18.95" customHeight="1" x14ac:dyDescent="0.2">
      <c r="A92" s="53" t="s">
        <v>379</v>
      </c>
      <c r="B92" s="83" t="s">
        <v>384</v>
      </c>
      <c r="C92" s="891">
        <v>0</v>
      </c>
      <c r="D92" s="1121"/>
      <c r="E92" s="891">
        <f t="shared" si="65"/>
        <v>0</v>
      </c>
      <c r="F92" s="891"/>
      <c r="G92" s="891">
        <f t="shared" si="66"/>
        <v>0</v>
      </c>
      <c r="H92" s="891"/>
      <c r="I92" s="884">
        <f t="shared" si="62"/>
        <v>0</v>
      </c>
      <c r="J92" s="884"/>
      <c r="K92" s="884">
        <f t="shared" si="63"/>
        <v>0</v>
      </c>
      <c r="L92" s="884"/>
      <c r="M92" s="884">
        <f t="shared" si="63"/>
        <v>0</v>
      </c>
      <c r="N92" s="891">
        <f t="shared" si="64"/>
        <v>0</v>
      </c>
      <c r="O92" s="891">
        <v>0</v>
      </c>
      <c r="P92" s="892">
        <v>0</v>
      </c>
      <c r="Q92" s="608">
        <f t="shared" si="67"/>
        <v>0</v>
      </c>
    </row>
    <row r="93" spans="1:17" s="55" customFormat="1" ht="18.95" customHeight="1" x14ac:dyDescent="0.2">
      <c r="A93" s="53" t="s">
        <v>380</v>
      </c>
      <c r="B93" s="83" t="s">
        <v>385</v>
      </c>
      <c r="C93" s="891">
        <v>0</v>
      </c>
      <c r="D93" s="1121"/>
      <c r="E93" s="891">
        <f t="shared" si="65"/>
        <v>0</v>
      </c>
      <c r="F93" s="891"/>
      <c r="G93" s="891">
        <f t="shared" si="66"/>
        <v>0</v>
      </c>
      <c r="H93" s="891"/>
      <c r="I93" s="884">
        <f t="shared" si="62"/>
        <v>0</v>
      </c>
      <c r="J93" s="884"/>
      <c r="K93" s="884">
        <f t="shared" si="63"/>
        <v>0</v>
      </c>
      <c r="L93" s="884"/>
      <c r="M93" s="884">
        <f t="shared" si="63"/>
        <v>0</v>
      </c>
      <c r="N93" s="891">
        <f t="shared" si="64"/>
        <v>0</v>
      </c>
      <c r="O93" s="891">
        <v>0</v>
      </c>
      <c r="P93" s="892">
        <v>0</v>
      </c>
      <c r="Q93" s="608">
        <f t="shared" si="67"/>
        <v>0</v>
      </c>
    </row>
    <row r="94" spans="1:17" s="55" customFormat="1" ht="18.95" customHeight="1" x14ac:dyDescent="0.2">
      <c r="A94" s="53" t="s">
        <v>381</v>
      </c>
      <c r="B94" s="83" t="s">
        <v>386</v>
      </c>
      <c r="C94" s="891">
        <v>0</v>
      </c>
      <c r="D94" s="1121"/>
      <c r="E94" s="891">
        <f t="shared" si="65"/>
        <v>0</v>
      </c>
      <c r="F94" s="891"/>
      <c r="G94" s="891">
        <f t="shared" si="66"/>
        <v>0</v>
      </c>
      <c r="H94" s="891"/>
      <c r="I94" s="884">
        <f t="shared" si="62"/>
        <v>0</v>
      </c>
      <c r="J94" s="884"/>
      <c r="K94" s="884">
        <f t="shared" si="63"/>
        <v>0</v>
      </c>
      <c r="L94" s="884"/>
      <c r="M94" s="884">
        <f t="shared" si="63"/>
        <v>0</v>
      </c>
      <c r="N94" s="891">
        <f t="shared" si="64"/>
        <v>0</v>
      </c>
      <c r="O94" s="891">
        <v>0</v>
      </c>
      <c r="P94" s="892">
        <v>0</v>
      </c>
      <c r="Q94" s="608">
        <f t="shared" si="67"/>
        <v>0</v>
      </c>
    </row>
    <row r="95" spans="1:17" s="55" customFormat="1" ht="18.95" customHeight="1" x14ac:dyDescent="0.2">
      <c r="A95" s="1095" t="s">
        <v>382</v>
      </c>
      <c r="B95" s="1092" t="s">
        <v>387</v>
      </c>
      <c r="C95" s="1140">
        <f>SUM(C96:C97)</f>
        <v>119827</v>
      </c>
      <c r="D95" s="1122">
        <f t="shared" ref="D95:P95" si="68">SUM(D96:D97)</f>
        <v>-16352</v>
      </c>
      <c r="E95" s="1106">
        <f t="shared" si="68"/>
        <v>103475</v>
      </c>
      <c r="F95" s="1106">
        <f t="shared" si="68"/>
        <v>759</v>
      </c>
      <c r="G95" s="1106">
        <f t="shared" si="68"/>
        <v>104234</v>
      </c>
      <c r="H95" s="1414">
        <f>H96+H97</f>
        <v>495</v>
      </c>
      <c r="I95" s="884">
        <f t="shared" si="62"/>
        <v>104729</v>
      </c>
      <c r="J95" s="884">
        <f>J96+J97</f>
        <v>245</v>
      </c>
      <c r="K95" s="884">
        <f t="shared" si="63"/>
        <v>104974</v>
      </c>
      <c r="L95" s="884">
        <f>L96+L97</f>
        <v>254</v>
      </c>
      <c r="M95" s="884">
        <f t="shared" si="63"/>
        <v>105228</v>
      </c>
      <c r="N95" s="891">
        <f t="shared" si="64"/>
        <v>105228</v>
      </c>
      <c r="O95" s="1106">
        <f t="shared" si="68"/>
        <v>0</v>
      </c>
      <c r="P95" s="1141">
        <f t="shared" si="68"/>
        <v>0</v>
      </c>
      <c r="Q95" s="608">
        <f t="shared" si="67"/>
        <v>105228</v>
      </c>
    </row>
    <row r="96" spans="1:17" s="55" customFormat="1" ht="18" customHeight="1" x14ac:dyDescent="0.2">
      <c r="A96" s="1093" t="s">
        <v>447</v>
      </c>
      <c r="B96" s="21" t="s">
        <v>448</v>
      </c>
      <c r="C96" s="891"/>
      <c r="D96" s="1121">
        <v>0</v>
      </c>
      <c r="E96" s="891">
        <v>0</v>
      </c>
      <c r="F96" s="891"/>
      <c r="G96" s="891">
        <f t="shared" si="66"/>
        <v>0</v>
      </c>
      <c r="H96" s="891"/>
      <c r="I96" s="884">
        <f t="shared" si="62"/>
        <v>0</v>
      </c>
      <c r="J96" s="884"/>
      <c r="K96" s="884">
        <f t="shared" si="63"/>
        <v>0</v>
      </c>
      <c r="L96" s="884"/>
      <c r="M96" s="884">
        <f t="shared" si="63"/>
        <v>0</v>
      </c>
      <c r="N96" s="891">
        <f t="shared" si="64"/>
        <v>0</v>
      </c>
      <c r="O96" s="891"/>
      <c r="P96" s="892"/>
      <c r="Q96" s="608">
        <f t="shared" si="67"/>
        <v>0</v>
      </c>
    </row>
    <row r="97" spans="1:17" s="55" customFormat="1" ht="18" customHeight="1" thickBot="1" x14ac:dyDescent="0.25">
      <c r="A97" s="1094" t="s">
        <v>449</v>
      </c>
      <c r="B97" s="89" t="s">
        <v>450</v>
      </c>
      <c r="C97" s="893">
        <v>119827</v>
      </c>
      <c r="D97" s="1123">
        <f>8216-19000-6746+1178</f>
        <v>-16352</v>
      </c>
      <c r="E97" s="893">
        <f>C97+D97</f>
        <v>103475</v>
      </c>
      <c r="F97" s="893">
        <f>744+15</f>
        <v>759</v>
      </c>
      <c r="G97" s="893">
        <f t="shared" si="66"/>
        <v>104234</v>
      </c>
      <c r="H97" s="893">
        <v>495</v>
      </c>
      <c r="I97" s="1218">
        <f t="shared" si="62"/>
        <v>104729</v>
      </c>
      <c r="J97" s="1218">
        <v>245</v>
      </c>
      <c r="K97" s="1218">
        <f t="shared" si="63"/>
        <v>104974</v>
      </c>
      <c r="L97" s="1218">
        <v>254</v>
      </c>
      <c r="M97" s="884">
        <f t="shared" si="63"/>
        <v>105228</v>
      </c>
      <c r="N97" s="891">
        <f t="shared" si="64"/>
        <v>105228</v>
      </c>
      <c r="O97" s="893"/>
      <c r="P97" s="894"/>
      <c r="Q97" s="608">
        <f t="shared" si="67"/>
        <v>105228</v>
      </c>
    </row>
    <row r="98" spans="1:17" s="56" customFormat="1" ht="21" customHeight="1" thickBot="1" x14ac:dyDescent="0.25">
      <c r="A98" s="90"/>
      <c r="B98" s="91" t="s">
        <v>241</v>
      </c>
      <c r="C98" s="895">
        <f>SUM(C88:C95)</f>
        <v>120627</v>
      </c>
      <c r="D98" s="1124">
        <f t="shared" ref="D98:P98" si="69">SUM(D88:D95)</f>
        <v>-16352</v>
      </c>
      <c r="E98" s="895">
        <f t="shared" si="69"/>
        <v>104275</v>
      </c>
      <c r="F98" s="895">
        <f t="shared" si="69"/>
        <v>2759</v>
      </c>
      <c r="G98" s="895">
        <f t="shared" si="69"/>
        <v>107034</v>
      </c>
      <c r="H98" s="895">
        <f>SUM(H88:H95)</f>
        <v>1795</v>
      </c>
      <c r="I98" s="890">
        <f t="shared" si="62"/>
        <v>108829</v>
      </c>
      <c r="J98" s="890">
        <f>SUM(J88:J95)</f>
        <v>3245</v>
      </c>
      <c r="K98" s="890">
        <f>SUM(K88:K95)</f>
        <v>112074</v>
      </c>
      <c r="L98" s="890">
        <f>SUM(L88:L95)</f>
        <v>604</v>
      </c>
      <c r="M98" s="890">
        <f>SUM(M88:M95)</f>
        <v>112678</v>
      </c>
      <c r="N98" s="895">
        <f>SUM(N88:N95)</f>
        <v>112678</v>
      </c>
      <c r="O98" s="895">
        <f t="shared" si="69"/>
        <v>0</v>
      </c>
      <c r="P98" s="1144">
        <f t="shared" si="69"/>
        <v>0</v>
      </c>
      <c r="Q98" s="608">
        <f t="shared" si="67"/>
        <v>112678</v>
      </c>
    </row>
    <row r="99" spans="1:17" s="62" customFormat="1" ht="29.1" customHeight="1" x14ac:dyDescent="0.2">
      <c r="A99" s="1142"/>
      <c r="B99" s="1584" t="s">
        <v>6</v>
      </c>
      <c r="C99" s="1595"/>
      <c r="D99" s="1595"/>
      <c r="E99" s="1595"/>
      <c r="F99" s="1595"/>
      <c r="G99" s="1595"/>
      <c r="H99" s="1595"/>
      <c r="I99" s="1595"/>
      <c r="J99" s="1595"/>
      <c r="K99" s="1595"/>
      <c r="L99" s="1595"/>
      <c r="M99" s="1595"/>
      <c r="N99" s="1595"/>
      <c r="O99" s="1595"/>
      <c r="P99" s="1596"/>
      <c r="Q99" s="607"/>
    </row>
    <row r="100" spans="1:17" s="55" customFormat="1" ht="18.95" customHeight="1" x14ac:dyDescent="0.2">
      <c r="A100" s="53" t="s">
        <v>375</v>
      </c>
      <c r="B100" s="83" t="s">
        <v>373</v>
      </c>
      <c r="C100" s="891">
        <v>0</v>
      </c>
      <c r="D100" s="1121"/>
      <c r="E100" s="891">
        <f>C100+D100</f>
        <v>0</v>
      </c>
      <c r="F100" s="891"/>
      <c r="G100" s="891">
        <f>E100+F100</f>
        <v>0</v>
      </c>
      <c r="H100" s="891"/>
      <c r="I100" s="884">
        <f t="shared" ref="I100:I110" si="70">G100+H100</f>
        <v>0</v>
      </c>
      <c r="J100" s="884"/>
      <c r="K100" s="884">
        <f t="shared" ref="K100:M109" si="71">I100+J100</f>
        <v>0</v>
      </c>
      <c r="L100" s="884"/>
      <c r="M100" s="884">
        <f t="shared" si="71"/>
        <v>0</v>
      </c>
      <c r="N100" s="891">
        <f t="shared" ref="N100:N109" si="72">M100</f>
        <v>0</v>
      </c>
      <c r="O100" s="891">
        <v>0</v>
      </c>
      <c r="P100" s="892">
        <v>0</v>
      </c>
      <c r="Q100" s="608">
        <f>SUM(N100:P100)</f>
        <v>0</v>
      </c>
    </row>
    <row r="101" spans="1:17" s="55" customFormat="1" ht="18.95" customHeight="1" x14ac:dyDescent="0.2">
      <c r="A101" s="53" t="s">
        <v>376</v>
      </c>
      <c r="B101" s="83" t="s">
        <v>374</v>
      </c>
      <c r="C101" s="891">
        <v>0</v>
      </c>
      <c r="D101" s="1121"/>
      <c r="E101" s="891">
        <f t="shared" ref="E101:E109" si="73">C101+D101</f>
        <v>0</v>
      </c>
      <c r="F101" s="891"/>
      <c r="G101" s="891">
        <f t="shared" ref="G101:G109" si="74">E101+F101</f>
        <v>0</v>
      </c>
      <c r="H101" s="891"/>
      <c r="I101" s="884">
        <f t="shared" si="70"/>
        <v>0</v>
      </c>
      <c r="J101" s="884"/>
      <c r="K101" s="884">
        <f t="shared" si="71"/>
        <v>0</v>
      </c>
      <c r="L101" s="884"/>
      <c r="M101" s="884">
        <f t="shared" si="71"/>
        <v>0</v>
      </c>
      <c r="N101" s="891">
        <f t="shared" si="72"/>
        <v>0</v>
      </c>
      <c r="O101" s="891">
        <v>0</v>
      </c>
      <c r="P101" s="892">
        <v>0</v>
      </c>
      <c r="Q101" s="608">
        <f t="shared" ref="Q101:Q110" si="75">SUM(N101:P101)</f>
        <v>0</v>
      </c>
    </row>
    <row r="102" spans="1:17" s="55" customFormat="1" ht="18.95" customHeight="1" x14ac:dyDescent="0.2">
      <c r="A102" s="53" t="s">
        <v>377</v>
      </c>
      <c r="B102" s="83" t="s">
        <v>383</v>
      </c>
      <c r="C102" s="891">
        <v>0</v>
      </c>
      <c r="D102" s="1121"/>
      <c r="E102" s="891">
        <f t="shared" si="73"/>
        <v>0</v>
      </c>
      <c r="F102" s="891"/>
      <c r="G102" s="891">
        <f t="shared" si="74"/>
        <v>0</v>
      </c>
      <c r="H102" s="891"/>
      <c r="I102" s="884">
        <f t="shared" si="70"/>
        <v>0</v>
      </c>
      <c r="J102" s="884"/>
      <c r="K102" s="884">
        <f t="shared" si="71"/>
        <v>0</v>
      </c>
      <c r="L102" s="884"/>
      <c r="M102" s="884">
        <f t="shared" si="71"/>
        <v>0</v>
      </c>
      <c r="N102" s="891">
        <f t="shared" si="72"/>
        <v>0</v>
      </c>
      <c r="O102" s="891">
        <v>0</v>
      </c>
      <c r="P102" s="892">
        <v>0</v>
      </c>
      <c r="Q102" s="608">
        <f t="shared" si="75"/>
        <v>0</v>
      </c>
    </row>
    <row r="103" spans="1:17" s="55" customFormat="1" ht="18.95" customHeight="1" x14ac:dyDescent="0.2">
      <c r="A103" s="53" t="s">
        <v>378</v>
      </c>
      <c r="B103" s="83" t="s">
        <v>48</v>
      </c>
      <c r="C103" s="891">
        <v>47000</v>
      </c>
      <c r="D103" s="1121"/>
      <c r="E103" s="891">
        <f t="shared" si="73"/>
        <v>47000</v>
      </c>
      <c r="F103" s="891"/>
      <c r="G103" s="891">
        <f t="shared" si="74"/>
        <v>47000</v>
      </c>
      <c r="H103" s="891"/>
      <c r="I103" s="884">
        <f t="shared" si="70"/>
        <v>47000</v>
      </c>
      <c r="J103" s="884"/>
      <c r="K103" s="884">
        <f t="shared" si="71"/>
        <v>47000</v>
      </c>
      <c r="L103" s="884">
        <v>2000</v>
      </c>
      <c r="M103" s="884">
        <f t="shared" si="71"/>
        <v>49000</v>
      </c>
      <c r="N103" s="891">
        <f t="shared" si="72"/>
        <v>49000</v>
      </c>
      <c r="O103" s="891">
        <v>0</v>
      </c>
      <c r="P103" s="892">
        <v>0</v>
      </c>
      <c r="Q103" s="608">
        <f t="shared" si="75"/>
        <v>49000</v>
      </c>
    </row>
    <row r="104" spans="1:17" s="55" customFormat="1" ht="18.95" customHeight="1" x14ac:dyDescent="0.2">
      <c r="A104" s="53" t="s">
        <v>379</v>
      </c>
      <c r="B104" s="83" t="s">
        <v>384</v>
      </c>
      <c r="C104" s="891">
        <v>0</v>
      </c>
      <c r="D104" s="1121"/>
      <c r="E104" s="891">
        <f t="shared" si="73"/>
        <v>0</v>
      </c>
      <c r="F104" s="891"/>
      <c r="G104" s="891">
        <f t="shared" si="74"/>
        <v>0</v>
      </c>
      <c r="H104" s="891"/>
      <c r="I104" s="884">
        <f t="shared" si="70"/>
        <v>0</v>
      </c>
      <c r="J104" s="884"/>
      <c r="K104" s="884">
        <f t="shared" si="71"/>
        <v>0</v>
      </c>
      <c r="L104" s="884"/>
      <c r="M104" s="884">
        <f t="shared" si="71"/>
        <v>0</v>
      </c>
      <c r="N104" s="891">
        <f t="shared" si="72"/>
        <v>0</v>
      </c>
      <c r="O104" s="891">
        <v>0</v>
      </c>
      <c r="P104" s="892">
        <v>0</v>
      </c>
      <c r="Q104" s="608">
        <f t="shared" si="75"/>
        <v>0</v>
      </c>
    </row>
    <row r="105" spans="1:17" s="55" customFormat="1" ht="18.95" customHeight="1" x14ac:dyDescent="0.2">
      <c r="A105" s="53" t="s">
        <v>380</v>
      </c>
      <c r="B105" s="83" t="s">
        <v>385</v>
      </c>
      <c r="C105" s="891">
        <v>0</v>
      </c>
      <c r="D105" s="1121"/>
      <c r="E105" s="891">
        <f t="shared" si="73"/>
        <v>0</v>
      </c>
      <c r="F105" s="891"/>
      <c r="G105" s="891">
        <f t="shared" si="74"/>
        <v>0</v>
      </c>
      <c r="H105" s="891"/>
      <c r="I105" s="884">
        <f t="shared" si="70"/>
        <v>0</v>
      </c>
      <c r="J105" s="884"/>
      <c r="K105" s="884">
        <f t="shared" si="71"/>
        <v>0</v>
      </c>
      <c r="L105" s="884"/>
      <c r="M105" s="884">
        <f t="shared" si="71"/>
        <v>0</v>
      </c>
      <c r="N105" s="891">
        <f t="shared" si="72"/>
        <v>0</v>
      </c>
      <c r="O105" s="891">
        <v>0</v>
      </c>
      <c r="P105" s="892">
        <v>0</v>
      </c>
      <c r="Q105" s="608">
        <f t="shared" si="75"/>
        <v>0</v>
      </c>
    </row>
    <row r="106" spans="1:17" s="55" customFormat="1" ht="18.95" customHeight="1" x14ac:dyDescent="0.2">
      <c r="A106" s="53" t="s">
        <v>381</v>
      </c>
      <c r="B106" s="83" t="s">
        <v>386</v>
      </c>
      <c r="C106" s="1089">
        <v>0</v>
      </c>
      <c r="D106" s="1121"/>
      <c r="E106" s="891">
        <f t="shared" si="73"/>
        <v>0</v>
      </c>
      <c r="F106" s="891"/>
      <c r="G106" s="891">
        <f t="shared" si="74"/>
        <v>0</v>
      </c>
      <c r="H106" s="891"/>
      <c r="I106" s="884">
        <f t="shared" si="70"/>
        <v>0</v>
      </c>
      <c r="J106" s="884"/>
      <c r="K106" s="884">
        <f t="shared" si="71"/>
        <v>0</v>
      </c>
      <c r="L106" s="884"/>
      <c r="M106" s="884">
        <f t="shared" si="71"/>
        <v>0</v>
      </c>
      <c r="N106" s="891">
        <f t="shared" si="72"/>
        <v>0</v>
      </c>
      <c r="O106" s="891">
        <v>0</v>
      </c>
      <c r="P106" s="892">
        <v>0</v>
      </c>
      <c r="Q106" s="608">
        <f t="shared" si="75"/>
        <v>0</v>
      </c>
    </row>
    <row r="107" spans="1:17" s="55" customFormat="1" ht="18.95" customHeight="1" x14ac:dyDescent="0.2">
      <c r="A107" s="1091" t="s">
        <v>382</v>
      </c>
      <c r="B107" s="1096" t="s">
        <v>387</v>
      </c>
      <c r="C107" s="891">
        <f>SUM(C108:C109)</f>
        <v>40523</v>
      </c>
      <c r="D107" s="1121">
        <f t="shared" ref="D107:P107" si="76">SUM(D108:D109)</f>
        <v>2690</v>
      </c>
      <c r="E107" s="891">
        <f t="shared" si="76"/>
        <v>43213</v>
      </c>
      <c r="F107" s="891">
        <f t="shared" si="76"/>
        <v>160</v>
      </c>
      <c r="G107" s="891">
        <f t="shared" si="76"/>
        <v>43373</v>
      </c>
      <c r="H107" s="891">
        <f>H108+H109</f>
        <v>105</v>
      </c>
      <c r="I107" s="884">
        <f t="shared" si="70"/>
        <v>43478</v>
      </c>
      <c r="J107" s="884">
        <f>J108+J109</f>
        <v>52</v>
      </c>
      <c r="K107" s="884">
        <f t="shared" si="71"/>
        <v>43530</v>
      </c>
      <c r="L107" s="884">
        <f>L108+L109</f>
        <v>53</v>
      </c>
      <c r="M107" s="884">
        <f t="shared" si="71"/>
        <v>43583</v>
      </c>
      <c r="N107" s="891">
        <f t="shared" si="72"/>
        <v>43583</v>
      </c>
      <c r="O107" s="891">
        <f t="shared" si="76"/>
        <v>0</v>
      </c>
      <c r="P107" s="892">
        <f t="shared" si="76"/>
        <v>0</v>
      </c>
      <c r="Q107" s="608">
        <f t="shared" si="75"/>
        <v>43583</v>
      </c>
    </row>
    <row r="108" spans="1:17" s="55" customFormat="1" ht="18" customHeight="1" x14ac:dyDescent="0.2">
      <c r="A108" s="1093" t="s">
        <v>447</v>
      </c>
      <c r="B108" s="21" t="s">
        <v>448</v>
      </c>
      <c r="C108" s="891"/>
      <c r="D108" s="1121">
        <v>2400</v>
      </c>
      <c r="E108" s="891">
        <v>2400</v>
      </c>
      <c r="F108" s="891"/>
      <c r="G108" s="891">
        <f t="shared" si="74"/>
        <v>2400</v>
      </c>
      <c r="H108" s="891"/>
      <c r="I108" s="884">
        <f t="shared" si="70"/>
        <v>2400</v>
      </c>
      <c r="J108" s="884"/>
      <c r="K108" s="884">
        <f t="shared" si="71"/>
        <v>2400</v>
      </c>
      <c r="L108" s="884"/>
      <c r="M108" s="884">
        <f t="shared" si="71"/>
        <v>2400</v>
      </c>
      <c r="N108" s="891">
        <f t="shared" si="72"/>
        <v>2400</v>
      </c>
      <c r="O108" s="891"/>
      <c r="P108" s="892"/>
      <c r="Q108" s="608">
        <f t="shared" si="75"/>
        <v>2400</v>
      </c>
    </row>
    <row r="109" spans="1:17" s="55" customFormat="1" ht="18" customHeight="1" thickBot="1" x14ac:dyDescent="0.25">
      <c r="A109" s="1094" t="s">
        <v>449</v>
      </c>
      <c r="B109" s="89" t="s">
        <v>450</v>
      </c>
      <c r="C109" s="893">
        <v>40523</v>
      </c>
      <c r="D109" s="1123">
        <v>290</v>
      </c>
      <c r="E109" s="893">
        <f t="shared" si="73"/>
        <v>40813</v>
      </c>
      <c r="F109" s="893">
        <v>160</v>
      </c>
      <c r="G109" s="893">
        <f t="shared" si="74"/>
        <v>40973</v>
      </c>
      <c r="H109" s="893">
        <v>105</v>
      </c>
      <c r="I109" s="1218">
        <f t="shared" si="70"/>
        <v>41078</v>
      </c>
      <c r="J109" s="1218">
        <v>52</v>
      </c>
      <c r="K109" s="1218">
        <f t="shared" si="71"/>
        <v>41130</v>
      </c>
      <c r="L109" s="1218">
        <v>53</v>
      </c>
      <c r="M109" s="884">
        <f t="shared" si="71"/>
        <v>41183</v>
      </c>
      <c r="N109" s="891">
        <f t="shared" si="72"/>
        <v>41183</v>
      </c>
      <c r="O109" s="893">
        <v>0</v>
      </c>
      <c r="P109" s="894">
        <v>0</v>
      </c>
      <c r="Q109" s="608">
        <f t="shared" si="75"/>
        <v>41183</v>
      </c>
    </row>
    <row r="110" spans="1:17" s="56" customFormat="1" ht="21" customHeight="1" thickBot="1" x14ac:dyDescent="0.25">
      <c r="A110" s="90"/>
      <c r="B110" s="91" t="s">
        <v>241</v>
      </c>
      <c r="C110" s="895">
        <f>SUM(C100:C107)</f>
        <v>87523</v>
      </c>
      <c r="D110" s="1124">
        <f t="shared" ref="D110:P110" si="77">SUM(D100:D107)</f>
        <v>2690</v>
      </c>
      <c r="E110" s="895">
        <f t="shared" si="77"/>
        <v>90213</v>
      </c>
      <c r="F110" s="895">
        <f t="shared" si="77"/>
        <v>160</v>
      </c>
      <c r="G110" s="895">
        <f t="shared" si="77"/>
        <v>90373</v>
      </c>
      <c r="H110" s="895">
        <f>H100+H101+H102+H103+H104+H105+H106+H107</f>
        <v>105</v>
      </c>
      <c r="I110" s="890">
        <f t="shared" si="70"/>
        <v>90478</v>
      </c>
      <c r="J110" s="890">
        <f>SUM(J100:J107)</f>
        <v>52</v>
      </c>
      <c r="K110" s="890">
        <f>SUM(K100:K107)</f>
        <v>90530</v>
      </c>
      <c r="L110" s="890">
        <f>SUM(L100:L107)</f>
        <v>2053</v>
      </c>
      <c r="M110" s="890">
        <f>SUM(M100:M107)</f>
        <v>92583</v>
      </c>
      <c r="N110" s="895">
        <f>SUM(N100:N107)</f>
        <v>92583</v>
      </c>
      <c r="O110" s="895">
        <f t="shared" si="77"/>
        <v>0</v>
      </c>
      <c r="P110" s="1144">
        <f t="shared" si="77"/>
        <v>0</v>
      </c>
      <c r="Q110" s="608">
        <f t="shared" si="75"/>
        <v>92583</v>
      </c>
    </row>
    <row r="111" spans="1:17" s="62" customFormat="1" ht="29.1" customHeight="1" x14ac:dyDescent="0.2">
      <c r="A111" s="79"/>
      <c r="B111" s="1581" t="s">
        <v>128</v>
      </c>
      <c r="C111" s="1582"/>
      <c r="D111" s="1582"/>
      <c r="E111" s="1582"/>
      <c r="F111" s="1582"/>
      <c r="G111" s="1582"/>
      <c r="H111" s="1582"/>
      <c r="I111" s="1582"/>
      <c r="J111" s="1582"/>
      <c r="K111" s="1582"/>
      <c r="L111" s="1582"/>
      <c r="M111" s="1582"/>
      <c r="N111" s="1582"/>
      <c r="O111" s="1582"/>
      <c r="P111" s="1583"/>
      <c r="Q111" s="607"/>
    </row>
    <row r="112" spans="1:17" s="55" customFormat="1" ht="18.95" customHeight="1" x14ac:dyDescent="0.2">
      <c r="A112" s="53" t="s">
        <v>375</v>
      </c>
      <c r="B112" s="83" t="s">
        <v>373</v>
      </c>
      <c r="C112" s="891">
        <v>0</v>
      </c>
      <c r="D112" s="1121"/>
      <c r="E112" s="891">
        <f>C112+D112</f>
        <v>0</v>
      </c>
      <c r="F112" s="891"/>
      <c r="G112" s="891">
        <f>E112+F112</f>
        <v>0</v>
      </c>
      <c r="H112" s="891"/>
      <c r="I112" s="884">
        <f t="shared" ref="I112:I122" si="78">G112+H112</f>
        <v>0</v>
      </c>
      <c r="J112" s="884"/>
      <c r="K112" s="884">
        <f t="shared" ref="K112:M121" si="79">I112+J112</f>
        <v>0</v>
      </c>
      <c r="L112" s="884"/>
      <c r="M112" s="884">
        <f t="shared" si="79"/>
        <v>0</v>
      </c>
      <c r="N112" s="891">
        <f>M112</f>
        <v>0</v>
      </c>
      <c r="O112" s="891">
        <f t="shared" ref="O112:O118" si="80">E112</f>
        <v>0</v>
      </c>
      <c r="P112" s="892">
        <v>0</v>
      </c>
      <c r="Q112" s="608">
        <f>SUM(N112:P112)</f>
        <v>0</v>
      </c>
    </row>
    <row r="113" spans="1:17" s="55" customFormat="1" ht="18.95" customHeight="1" x14ac:dyDescent="0.2">
      <c r="A113" s="53" t="s">
        <v>376</v>
      </c>
      <c r="B113" s="83" t="s">
        <v>374</v>
      </c>
      <c r="C113" s="891">
        <v>0</v>
      </c>
      <c r="D113" s="1121"/>
      <c r="E113" s="891">
        <f t="shared" ref="E113:E121" si="81">C113+D113</f>
        <v>0</v>
      </c>
      <c r="F113" s="891"/>
      <c r="G113" s="891">
        <f t="shared" ref="G113:G121" si="82">E113+F113</f>
        <v>0</v>
      </c>
      <c r="H113" s="891"/>
      <c r="I113" s="884">
        <f t="shared" si="78"/>
        <v>0</v>
      </c>
      <c r="J113" s="884"/>
      <c r="K113" s="884">
        <f t="shared" si="79"/>
        <v>0</v>
      </c>
      <c r="L113" s="884"/>
      <c r="M113" s="884">
        <f t="shared" si="79"/>
        <v>0</v>
      </c>
      <c r="N113" s="891">
        <f>M113</f>
        <v>0</v>
      </c>
      <c r="O113" s="891">
        <f t="shared" si="80"/>
        <v>0</v>
      </c>
      <c r="P113" s="892">
        <v>0</v>
      </c>
      <c r="Q113" s="608">
        <f t="shared" ref="Q113:Q122" si="83">SUM(N113:P113)</f>
        <v>0</v>
      </c>
    </row>
    <row r="114" spans="1:17" s="55" customFormat="1" ht="18.95" customHeight="1" x14ac:dyDescent="0.2">
      <c r="A114" s="53" t="s">
        <v>377</v>
      </c>
      <c r="B114" s="83" t="s">
        <v>383</v>
      </c>
      <c r="C114" s="891">
        <v>0</v>
      </c>
      <c r="D114" s="1121"/>
      <c r="E114" s="891">
        <f t="shared" si="81"/>
        <v>0</v>
      </c>
      <c r="F114" s="891"/>
      <c r="G114" s="891">
        <f t="shared" si="82"/>
        <v>0</v>
      </c>
      <c r="H114" s="891"/>
      <c r="I114" s="884">
        <f t="shared" si="78"/>
        <v>0</v>
      </c>
      <c r="J114" s="884"/>
      <c r="K114" s="884">
        <f t="shared" si="79"/>
        <v>0</v>
      </c>
      <c r="L114" s="884"/>
      <c r="M114" s="884">
        <f t="shared" si="79"/>
        <v>0</v>
      </c>
      <c r="N114" s="891">
        <f>M114</f>
        <v>0</v>
      </c>
      <c r="O114" s="891">
        <f t="shared" si="80"/>
        <v>0</v>
      </c>
      <c r="P114" s="892">
        <v>0</v>
      </c>
      <c r="Q114" s="608">
        <f t="shared" si="83"/>
        <v>0</v>
      </c>
    </row>
    <row r="115" spans="1:17" s="55" customFormat="1" ht="18.95" customHeight="1" x14ac:dyDescent="0.2">
      <c r="A115" s="53" t="s">
        <v>378</v>
      </c>
      <c r="B115" s="83" t="s">
        <v>48</v>
      </c>
      <c r="C115" s="891">
        <v>9200</v>
      </c>
      <c r="D115" s="1121"/>
      <c r="E115" s="891">
        <f t="shared" si="81"/>
        <v>9200</v>
      </c>
      <c r="F115" s="891"/>
      <c r="G115" s="891">
        <f t="shared" si="82"/>
        <v>9200</v>
      </c>
      <c r="H115" s="891"/>
      <c r="I115" s="884">
        <f t="shared" si="78"/>
        <v>9200</v>
      </c>
      <c r="J115" s="884"/>
      <c r="K115" s="884">
        <f t="shared" si="79"/>
        <v>9200</v>
      </c>
      <c r="L115" s="884"/>
      <c r="M115" s="884">
        <f t="shared" si="79"/>
        <v>9200</v>
      </c>
      <c r="N115" s="891">
        <v>0</v>
      </c>
      <c r="O115" s="891">
        <f>M115</f>
        <v>9200</v>
      </c>
      <c r="P115" s="892">
        <v>0</v>
      </c>
      <c r="Q115" s="608">
        <f t="shared" si="83"/>
        <v>9200</v>
      </c>
    </row>
    <row r="116" spans="1:17" s="55" customFormat="1" ht="18.95" customHeight="1" x14ac:dyDescent="0.2">
      <c r="A116" s="53" t="s">
        <v>379</v>
      </c>
      <c r="B116" s="83" t="s">
        <v>384</v>
      </c>
      <c r="C116" s="891">
        <v>0</v>
      </c>
      <c r="D116" s="1121"/>
      <c r="E116" s="891">
        <f t="shared" si="81"/>
        <v>0</v>
      </c>
      <c r="F116" s="891"/>
      <c r="G116" s="891">
        <f t="shared" si="82"/>
        <v>0</v>
      </c>
      <c r="H116" s="891"/>
      <c r="I116" s="884">
        <f t="shared" si="78"/>
        <v>0</v>
      </c>
      <c r="J116" s="884"/>
      <c r="K116" s="884">
        <f t="shared" si="79"/>
        <v>0</v>
      </c>
      <c r="L116" s="884"/>
      <c r="M116" s="884">
        <f t="shared" si="79"/>
        <v>0</v>
      </c>
      <c r="N116" s="891">
        <f>M116</f>
        <v>0</v>
      </c>
      <c r="O116" s="891">
        <f t="shared" si="80"/>
        <v>0</v>
      </c>
      <c r="P116" s="892">
        <v>0</v>
      </c>
      <c r="Q116" s="608">
        <f t="shared" si="83"/>
        <v>0</v>
      </c>
    </row>
    <row r="117" spans="1:17" s="55" customFormat="1" ht="18.95" customHeight="1" x14ac:dyDescent="0.2">
      <c r="A117" s="53" t="s">
        <v>380</v>
      </c>
      <c r="B117" s="83" t="s">
        <v>385</v>
      </c>
      <c r="C117" s="891">
        <v>0</v>
      </c>
      <c r="D117" s="1121"/>
      <c r="E117" s="891">
        <f t="shared" si="81"/>
        <v>0</v>
      </c>
      <c r="F117" s="891"/>
      <c r="G117" s="891">
        <f t="shared" si="82"/>
        <v>0</v>
      </c>
      <c r="H117" s="891"/>
      <c r="I117" s="884">
        <f t="shared" si="78"/>
        <v>0</v>
      </c>
      <c r="J117" s="884"/>
      <c r="K117" s="884">
        <f t="shared" si="79"/>
        <v>0</v>
      </c>
      <c r="L117" s="884"/>
      <c r="M117" s="884">
        <f t="shared" si="79"/>
        <v>0</v>
      </c>
      <c r="N117" s="891">
        <f>M117</f>
        <v>0</v>
      </c>
      <c r="O117" s="891">
        <f t="shared" si="80"/>
        <v>0</v>
      </c>
      <c r="P117" s="892">
        <v>0</v>
      </c>
      <c r="Q117" s="608">
        <f t="shared" si="83"/>
        <v>0</v>
      </c>
    </row>
    <row r="118" spans="1:17" s="55" customFormat="1" ht="18.95" customHeight="1" x14ac:dyDescent="0.2">
      <c r="A118" s="53" t="s">
        <v>381</v>
      </c>
      <c r="B118" s="83" t="s">
        <v>386</v>
      </c>
      <c r="C118" s="891">
        <v>0</v>
      </c>
      <c r="D118" s="1121"/>
      <c r="E118" s="891">
        <f t="shared" si="81"/>
        <v>0</v>
      </c>
      <c r="F118" s="891"/>
      <c r="G118" s="891">
        <f t="shared" si="82"/>
        <v>0</v>
      </c>
      <c r="H118" s="891"/>
      <c r="I118" s="884">
        <f t="shared" si="78"/>
        <v>0</v>
      </c>
      <c r="J118" s="884"/>
      <c r="K118" s="884">
        <f t="shared" si="79"/>
        <v>0</v>
      </c>
      <c r="L118" s="884"/>
      <c r="M118" s="884">
        <f t="shared" si="79"/>
        <v>0</v>
      </c>
      <c r="N118" s="891">
        <f>M118</f>
        <v>0</v>
      </c>
      <c r="O118" s="891">
        <f t="shared" si="80"/>
        <v>0</v>
      </c>
      <c r="P118" s="892">
        <v>0</v>
      </c>
      <c r="Q118" s="608">
        <f t="shared" si="83"/>
        <v>0</v>
      </c>
    </row>
    <row r="119" spans="1:17" s="55" customFormat="1" ht="18.95" customHeight="1" x14ac:dyDescent="0.2">
      <c r="A119" s="1095" t="s">
        <v>382</v>
      </c>
      <c r="B119" s="1092" t="s">
        <v>387</v>
      </c>
      <c r="C119" s="891">
        <f>SUM(C120:C121)</f>
        <v>1049</v>
      </c>
      <c r="D119" s="1121">
        <f t="shared" ref="D119:P119" si="84">SUM(D120:D121)</f>
        <v>4425</v>
      </c>
      <c r="E119" s="1121">
        <f t="shared" si="84"/>
        <v>5474</v>
      </c>
      <c r="F119" s="1121">
        <f t="shared" si="84"/>
        <v>0</v>
      </c>
      <c r="G119" s="1121">
        <f t="shared" si="84"/>
        <v>5474</v>
      </c>
      <c r="H119" s="1121"/>
      <c r="I119" s="884">
        <f t="shared" si="78"/>
        <v>5474</v>
      </c>
      <c r="J119" s="884">
        <f>J120+J121</f>
        <v>0</v>
      </c>
      <c r="K119" s="884">
        <f t="shared" si="79"/>
        <v>5474</v>
      </c>
      <c r="L119" s="884">
        <f>L120+L121</f>
        <v>0</v>
      </c>
      <c r="M119" s="884">
        <f t="shared" si="79"/>
        <v>5474</v>
      </c>
      <c r="N119" s="891">
        <f t="shared" si="84"/>
        <v>0</v>
      </c>
      <c r="O119" s="891">
        <f>M119</f>
        <v>5474</v>
      </c>
      <c r="P119" s="892">
        <f t="shared" si="84"/>
        <v>0</v>
      </c>
      <c r="Q119" s="608">
        <f t="shared" si="83"/>
        <v>5474</v>
      </c>
    </row>
    <row r="120" spans="1:17" s="55" customFormat="1" ht="18" customHeight="1" x14ac:dyDescent="0.2">
      <c r="A120" s="1093" t="s">
        <v>447</v>
      </c>
      <c r="B120" s="21" t="s">
        <v>448</v>
      </c>
      <c r="C120" s="891"/>
      <c r="D120" s="1121">
        <v>4425</v>
      </c>
      <c r="E120" s="891">
        <v>4425</v>
      </c>
      <c r="F120" s="891"/>
      <c r="G120" s="891">
        <f t="shared" si="82"/>
        <v>4425</v>
      </c>
      <c r="H120" s="891"/>
      <c r="I120" s="884">
        <f t="shared" si="78"/>
        <v>4425</v>
      </c>
      <c r="J120" s="884"/>
      <c r="K120" s="884">
        <f t="shared" si="79"/>
        <v>4425</v>
      </c>
      <c r="L120" s="884"/>
      <c r="M120" s="884">
        <f t="shared" si="79"/>
        <v>4425</v>
      </c>
      <c r="N120" s="891"/>
      <c r="O120" s="891">
        <f>M120</f>
        <v>4425</v>
      </c>
      <c r="P120" s="892"/>
      <c r="Q120" s="608">
        <f t="shared" si="83"/>
        <v>4425</v>
      </c>
    </row>
    <row r="121" spans="1:17" s="55" customFormat="1" ht="18" customHeight="1" thickBot="1" x14ac:dyDescent="0.25">
      <c r="A121" s="1094" t="s">
        <v>449</v>
      </c>
      <c r="B121" s="1241" t="s">
        <v>450</v>
      </c>
      <c r="C121" s="893">
        <v>1049</v>
      </c>
      <c r="D121" s="1123"/>
      <c r="E121" s="893">
        <f t="shared" si="81"/>
        <v>1049</v>
      </c>
      <c r="F121" s="893"/>
      <c r="G121" s="893">
        <f t="shared" si="82"/>
        <v>1049</v>
      </c>
      <c r="H121" s="893"/>
      <c r="I121" s="1218">
        <f t="shared" si="78"/>
        <v>1049</v>
      </c>
      <c r="J121" s="1218"/>
      <c r="K121" s="1218">
        <f t="shared" si="79"/>
        <v>1049</v>
      </c>
      <c r="L121" s="1218"/>
      <c r="M121" s="884">
        <f t="shared" si="79"/>
        <v>1049</v>
      </c>
      <c r="N121" s="893">
        <v>0</v>
      </c>
      <c r="O121" s="891">
        <f>M121</f>
        <v>1049</v>
      </c>
      <c r="P121" s="894">
        <v>0</v>
      </c>
      <c r="Q121" s="608">
        <f t="shared" si="83"/>
        <v>1049</v>
      </c>
    </row>
    <row r="122" spans="1:17" s="56" customFormat="1" ht="21" customHeight="1" thickBot="1" x14ac:dyDescent="0.25">
      <c r="A122" s="90"/>
      <c r="B122" s="91" t="s">
        <v>241</v>
      </c>
      <c r="C122" s="895">
        <f>SUM(C112:C119)</f>
        <v>10249</v>
      </c>
      <c r="D122" s="1124">
        <f t="shared" ref="D122:P122" si="85">SUM(D112:D119)</f>
        <v>4425</v>
      </c>
      <c r="E122" s="1124">
        <f t="shared" si="85"/>
        <v>14674</v>
      </c>
      <c r="F122" s="1124">
        <f t="shared" si="85"/>
        <v>0</v>
      </c>
      <c r="G122" s="1124">
        <f t="shared" si="85"/>
        <v>14674</v>
      </c>
      <c r="H122" s="1124">
        <f>SUM(H112:H119)</f>
        <v>0</v>
      </c>
      <c r="I122" s="890">
        <f t="shared" si="78"/>
        <v>14674</v>
      </c>
      <c r="J122" s="890">
        <f>SUM(J112:J119)</f>
        <v>0</v>
      </c>
      <c r="K122" s="890">
        <f>SUM(K112:K119)</f>
        <v>14674</v>
      </c>
      <c r="L122" s="890">
        <f>SUM(L112:L119)</f>
        <v>0</v>
      </c>
      <c r="M122" s="890">
        <f>SUM(M112:M119)</f>
        <v>14674</v>
      </c>
      <c r="N122" s="895">
        <f t="shared" si="85"/>
        <v>0</v>
      </c>
      <c r="O122" s="895">
        <f t="shared" si="85"/>
        <v>14674</v>
      </c>
      <c r="P122" s="1144">
        <f t="shared" si="85"/>
        <v>0</v>
      </c>
      <c r="Q122" s="608">
        <f t="shared" si="83"/>
        <v>14674</v>
      </c>
    </row>
    <row r="123" spans="1:17" s="61" customFormat="1" ht="29.1" customHeight="1" x14ac:dyDescent="0.2">
      <c r="A123" s="79"/>
      <c r="B123" s="1581" t="s">
        <v>256</v>
      </c>
      <c r="C123" s="1582"/>
      <c r="D123" s="1582"/>
      <c r="E123" s="1582"/>
      <c r="F123" s="1582"/>
      <c r="G123" s="1582"/>
      <c r="H123" s="1582"/>
      <c r="I123" s="1582"/>
      <c r="J123" s="1582"/>
      <c r="K123" s="1582"/>
      <c r="L123" s="1582"/>
      <c r="M123" s="1582"/>
      <c r="N123" s="1582"/>
      <c r="O123" s="1582"/>
      <c r="P123" s="1583"/>
      <c r="Q123" s="607"/>
    </row>
    <row r="124" spans="1:17" s="55" customFormat="1" ht="18.95" customHeight="1" x14ac:dyDescent="0.2">
      <c r="A124" s="53" t="s">
        <v>375</v>
      </c>
      <c r="B124" s="83" t="s">
        <v>373</v>
      </c>
      <c r="C124" s="891">
        <v>0</v>
      </c>
      <c r="D124" s="1121">
        <v>10490</v>
      </c>
      <c r="E124" s="891">
        <f xml:space="preserve"> C124+D124</f>
        <v>10490</v>
      </c>
      <c r="F124" s="891">
        <v>9753</v>
      </c>
      <c r="G124" s="891">
        <f>E124+F124</f>
        <v>20243</v>
      </c>
      <c r="H124" s="891">
        <v>11699</v>
      </c>
      <c r="I124" s="884">
        <f t="shared" ref="I124:I134" si="86">G124+H124</f>
        <v>31942</v>
      </c>
      <c r="J124" s="884">
        <v>6203</v>
      </c>
      <c r="K124" s="884">
        <f t="shared" ref="K124:M133" si="87">I124+J124</f>
        <v>38145</v>
      </c>
      <c r="L124" s="884">
        <f>17097</f>
        <v>17097</v>
      </c>
      <c r="M124" s="884">
        <f t="shared" si="87"/>
        <v>55242</v>
      </c>
      <c r="N124" s="891">
        <f t="shared" ref="N124:N133" si="88">M124</f>
        <v>55242</v>
      </c>
      <c r="O124" s="891">
        <v>0</v>
      </c>
      <c r="P124" s="892">
        <v>0</v>
      </c>
      <c r="Q124" s="608">
        <f>SUM(N124:P124)</f>
        <v>55242</v>
      </c>
    </row>
    <row r="125" spans="1:17" s="55" customFormat="1" ht="18.95" customHeight="1" x14ac:dyDescent="0.2">
      <c r="A125" s="53" t="s">
        <v>376</v>
      </c>
      <c r="B125" s="83" t="s">
        <v>374</v>
      </c>
      <c r="C125" s="891">
        <v>0</v>
      </c>
      <c r="D125" s="1121"/>
      <c r="E125" s="891">
        <f t="shared" ref="E125:E133" si="89" xml:space="preserve"> C125+D125</f>
        <v>0</v>
      </c>
      <c r="F125" s="891"/>
      <c r="G125" s="891">
        <f t="shared" ref="G125:G133" si="90">E125+F125</f>
        <v>0</v>
      </c>
      <c r="H125" s="891"/>
      <c r="I125" s="884">
        <f t="shared" si="86"/>
        <v>0</v>
      </c>
      <c r="J125" s="884"/>
      <c r="K125" s="884">
        <f t="shared" si="87"/>
        <v>0</v>
      </c>
      <c r="L125" s="884"/>
      <c r="M125" s="884">
        <f t="shared" si="87"/>
        <v>0</v>
      </c>
      <c r="N125" s="891">
        <f t="shared" si="88"/>
        <v>0</v>
      </c>
      <c r="O125" s="891">
        <v>0</v>
      </c>
      <c r="P125" s="892">
        <v>0</v>
      </c>
      <c r="Q125" s="608">
        <f t="shared" ref="Q125:Q134" si="91">SUM(N125:P125)</f>
        <v>0</v>
      </c>
    </row>
    <row r="126" spans="1:17" s="55" customFormat="1" ht="18.95" customHeight="1" x14ac:dyDescent="0.2">
      <c r="A126" s="53" t="s">
        <v>377</v>
      </c>
      <c r="B126" s="83" t="s">
        <v>383</v>
      </c>
      <c r="C126" s="891">
        <v>0</v>
      </c>
      <c r="D126" s="1121"/>
      <c r="E126" s="891">
        <f t="shared" si="89"/>
        <v>0</v>
      </c>
      <c r="F126" s="891"/>
      <c r="G126" s="891">
        <f t="shared" si="90"/>
        <v>0</v>
      </c>
      <c r="H126" s="891"/>
      <c r="I126" s="884">
        <f t="shared" si="86"/>
        <v>0</v>
      </c>
      <c r="J126" s="884"/>
      <c r="K126" s="884">
        <f t="shared" si="87"/>
        <v>0</v>
      </c>
      <c r="L126" s="884"/>
      <c r="M126" s="884">
        <f t="shared" si="87"/>
        <v>0</v>
      </c>
      <c r="N126" s="891">
        <f t="shared" si="88"/>
        <v>0</v>
      </c>
      <c r="O126" s="891">
        <v>0</v>
      </c>
      <c r="P126" s="892">
        <v>0</v>
      </c>
      <c r="Q126" s="608">
        <f t="shared" si="91"/>
        <v>0</v>
      </c>
    </row>
    <row r="127" spans="1:17" s="55" customFormat="1" ht="18.95" customHeight="1" x14ac:dyDescent="0.2">
      <c r="A127" s="53" t="s">
        <v>378</v>
      </c>
      <c r="B127" s="83" t="s">
        <v>48</v>
      </c>
      <c r="C127" s="891">
        <v>0</v>
      </c>
      <c r="D127" s="1121"/>
      <c r="E127" s="891">
        <f t="shared" si="89"/>
        <v>0</v>
      </c>
      <c r="F127" s="891"/>
      <c r="G127" s="891">
        <f t="shared" si="90"/>
        <v>0</v>
      </c>
      <c r="H127" s="891"/>
      <c r="I127" s="884">
        <f t="shared" si="86"/>
        <v>0</v>
      </c>
      <c r="J127" s="884"/>
      <c r="K127" s="884">
        <f t="shared" si="87"/>
        <v>0</v>
      </c>
      <c r="L127" s="884"/>
      <c r="M127" s="884">
        <f t="shared" si="87"/>
        <v>0</v>
      </c>
      <c r="N127" s="891">
        <f t="shared" si="88"/>
        <v>0</v>
      </c>
      <c r="O127" s="891">
        <v>0</v>
      </c>
      <c r="P127" s="892">
        <v>0</v>
      </c>
      <c r="Q127" s="608">
        <f t="shared" si="91"/>
        <v>0</v>
      </c>
    </row>
    <row r="128" spans="1:17" s="55" customFormat="1" ht="18.95" customHeight="1" x14ac:dyDescent="0.2">
      <c r="A128" s="53" t="s">
        <v>379</v>
      </c>
      <c r="B128" s="83" t="s">
        <v>384</v>
      </c>
      <c r="C128" s="891">
        <v>0</v>
      </c>
      <c r="D128" s="1121"/>
      <c r="E128" s="891">
        <f t="shared" si="89"/>
        <v>0</v>
      </c>
      <c r="F128" s="891"/>
      <c r="G128" s="891">
        <f t="shared" si="90"/>
        <v>0</v>
      </c>
      <c r="H128" s="891"/>
      <c r="I128" s="884">
        <f t="shared" si="86"/>
        <v>0</v>
      </c>
      <c r="J128" s="884"/>
      <c r="K128" s="884">
        <f t="shared" si="87"/>
        <v>0</v>
      </c>
      <c r="L128" s="884"/>
      <c r="M128" s="884">
        <f t="shared" si="87"/>
        <v>0</v>
      </c>
      <c r="N128" s="891">
        <f t="shared" si="88"/>
        <v>0</v>
      </c>
      <c r="O128" s="891">
        <v>0</v>
      </c>
      <c r="P128" s="892">
        <v>0</v>
      </c>
      <c r="Q128" s="608">
        <f t="shared" si="91"/>
        <v>0</v>
      </c>
    </row>
    <row r="129" spans="1:17" s="55" customFormat="1" ht="18.95" customHeight="1" x14ac:dyDescent="0.2">
      <c r="A129" s="53" t="s">
        <v>380</v>
      </c>
      <c r="B129" s="83" t="s">
        <v>385</v>
      </c>
      <c r="C129" s="891">
        <v>0</v>
      </c>
      <c r="D129" s="1121"/>
      <c r="E129" s="891">
        <f t="shared" si="89"/>
        <v>0</v>
      </c>
      <c r="F129" s="891"/>
      <c r="G129" s="891">
        <f t="shared" si="90"/>
        <v>0</v>
      </c>
      <c r="H129" s="891"/>
      <c r="I129" s="884">
        <f t="shared" si="86"/>
        <v>0</v>
      </c>
      <c r="J129" s="884"/>
      <c r="K129" s="884">
        <f t="shared" si="87"/>
        <v>0</v>
      </c>
      <c r="L129" s="884"/>
      <c r="M129" s="884">
        <f t="shared" si="87"/>
        <v>0</v>
      </c>
      <c r="N129" s="891">
        <f t="shared" si="88"/>
        <v>0</v>
      </c>
      <c r="O129" s="891">
        <v>0</v>
      </c>
      <c r="P129" s="892">
        <v>0</v>
      </c>
      <c r="Q129" s="608">
        <f t="shared" si="91"/>
        <v>0</v>
      </c>
    </row>
    <row r="130" spans="1:17" s="55" customFormat="1" ht="18.95" customHeight="1" x14ac:dyDescent="0.2">
      <c r="A130" s="53" t="s">
        <v>381</v>
      </c>
      <c r="B130" s="83" t="s">
        <v>386</v>
      </c>
      <c r="C130" s="891">
        <v>0</v>
      </c>
      <c r="D130" s="1121"/>
      <c r="E130" s="891">
        <f t="shared" si="89"/>
        <v>0</v>
      </c>
      <c r="F130" s="891"/>
      <c r="G130" s="891">
        <f t="shared" si="90"/>
        <v>0</v>
      </c>
      <c r="H130" s="891"/>
      <c r="I130" s="884">
        <f t="shared" si="86"/>
        <v>0</v>
      </c>
      <c r="J130" s="884"/>
      <c r="K130" s="884">
        <f t="shared" si="87"/>
        <v>0</v>
      </c>
      <c r="L130" s="884"/>
      <c r="M130" s="884">
        <f t="shared" si="87"/>
        <v>0</v>
      </c>
      <c r="N130" s="891">
        <f t="shared" si="88"/>
        <v>0</v>
      </c>
      <c r="O130" s="891">
        <v>0</v>
      </c>
      <c r="P130" s="892">
        <v>0</v>
      </c>
      <c r="Q130" s="608">
        <f t="shared" si="91"/>
        <v>0</v>
      </c>
    </row>
    <row r="131" spans="1:17" s="55" customFormat="1" ht="18.95" customHeight="1" x14ac:dyDescent="0.2">
      <c r="A131" s="1095" t="s">
        <v>382</v>
      </c>
      <c r="B131" s="1092" t="s">
        <v>387</v>
      </c>
      <c r="C131" s="891">
        <f>SUM(C132:C133)</f>
        <v>42230</v>
      </c>
      <c r="D131" s="1121">
        <f t="shared" ref="D131:P131" si="92">SUM(D132:D133)</f>
        <v>9571</v>
      </c>
      <c r="E131" s="891">
        <f t="shared" si="92"/>
        <v>51801</v>
      </c>
      <c r="F131" s="891">
        <f t="shared" si="92"/>
        <v>23</v>
      </c>
      <c r="G131" s="891">
        <f t="shared" si="92"/>
        <v>51824</v>
      </c>
      <c r="H131" s="891">
        <f>H132+H133</f>
        <v>13</v>
      </c>
      <c r="I131" s="884">
        <f t="shared" si="86"/>
        <v>51837</v>
      </c>
      <c r="J131" s="884">
        <f>J132+J133</f>
        <v>7</v>
      </c>
      <c r="K131" s="884">
        <f t="shared" si="87"/>
        <v>51844</v>
      </c>
      <c r="L131" s="884">
        <f>L132+L133</f>
        <v>7</v>
      </c>
      <c r="M131" s="884">
        <f t="shared" si="87"/>
        <v>51851</v>
      </c>
      <c r="N131" s="891">
        <f t="shared" si="88"/>
        <v>51851</v>
      </c>
      <c r="O131" s="891">
        <f t="shared" si="92"/>
        <v>0</v>
      </c>
      <c r="P131" s="892">
        <f t="shared" si="92"/>
        <v>0</v>
      </c>
      <c r="Q131" s="608">
        <f t="shared" si="91"/>
        <v>51851</v>
      </c>
    </row>
    <row r="132" spans="1:17" s="55" customFormat="1" ht="18" customHeight="1" x14ac:dyDescent="0.2">
      <c r="A132" s="1093" t="s">
        <v>447</v>
      </c>
      <c r="B132" s="21" t="s">
        <v>448</v>
      </c>
      <c r="C132" s="891"/>
      <c r="D132" s="1121">
        <v>9500</v>
      </c>
      <c r="E132" s="891">
        <v>9500</v>
      </c>
      <c r="F132" s="891"/>
      <c r="G132" s="891">
        <f t="shared" si="90"/>
        <v>9500</v>
      </c>
      <c r="H132" s="891"/>
      <c r="I132" s="884">
        <f t="shared" si="86"/>
        <v>9500</v>
      </c>
      <c r="J132" s="884"/>
      <c r="K132" s="884">
        <f t="shared" si="87"/>
        <v>9500</v>
      </c>
      <c r="L132" s="884"/>
      <c r="M132" s="884">
        <f t="shared" si="87"/>
        <v>9500</v>
      </c>
      <c r="N132" s="891">
        <f t="shared" si="88"/>
        <v>9500</v>
      </c>
      <c r="O132" s="891"/>
      <c r="P132" s="892"/>
      <c r="Q132" s="608">
        <f t="shared" si="91"/>
        <v>9500</v>
      </c>
    </row>
    <row r="133" spans="1:17" s="55" customFormat="1" ht="18" customHeight="1" thickBot="1" x14ac:dyDescent="0.25">
      <c r="A133" s="1094" t="s">
        <v>449</v>
      </c>
      <c r="B133" s="89" t="s">
        <v>450</v>
      </c>
      <c r="C133" s="893">
        <v>42230</v>
      </c>
      <c r="D133" s="1123">
        <v>71</v>
      </c>
      <c r="E133" s="893">
        <f t="shared" si="89"/>
        <v>42301</v>
      </c>
      <c r="F133" s="893">
        <v>23</v>
      </c>
      <c r="G133" s="893">
        <f t="shared" si="90"/>
        <v>42324</v>
      </c>
      <c r="H133" s="893">
        <v>13</v>
      </c>
      <c r="I133" s="1218">
        <f t="shared" si="86"/>
        <v>42337</v>
      </c>
      <c r="J133" s="1218">
        <v>7</v>
      </c>
      <c r="K133" s="1218">
        <f t="shared" si="87"/>
        <v>42344</v>
      </c>
      <c r="L133" s="1218">
        <v>7</v>
      </c>
      <c r="M133" s="884">
        <f t="shared" si="87"/>
        <v>42351</v>
      </c>
      <c r="N133" s="891">
        <f t="shared" si="88"/>
        <v>42351</v>
      </c>
      <c r="O133" s="893">
        <v>0</v>
      </c>
      <c r="P133" s="894">
        <v>0</v>
      </c>
      <c r="Q133" s="608">
        <f t="shared" si="91"/>
        <v>42351</v>
      </c>
    </row>
    <row r="134" spans="1:17" s="56" customFormat="1" ht="21" customHeight="1" thickBot="1" x14ac:dyDescent="0.25">
      <c r="A134" s="90"/>
      <c r="B134" s="91" t="s">
        <v>241</v>
      </c>
      <c r="C134" s="895">
        <f>SUM(C124:C131)</f>
        <v>42230</v>
      </c>
      <c r="D134" s="1124">
        <f t="shared" ref="D134:P134" si="93">SUM(D124:D131)</f>
        <v>20061</v>
      </c>
      <c r="E134" s="895">
        <f t="shared" si="93"/>
        <v>62291</v>
      </c>
      <c r="F134" s="895">
        <f t="shared" si="93"/>
        <v>9776</v>
      </c>
      <c r="G134" s="895">
        <f t="shared" si="93"/>
        <v>72067</v>
      </c>
      <c r="H134" s="895">
        <f>SUM(H124:H131)</f>
        <v>11712</v>
      </c>
      <c r="I134" s="890">
        <f t="shared" si="86"/>
        <v>83779</v>
      </c>
      <c r="J134" s="890">
        <f>SUM(J124:J131)</f>
        <v>6210</v>
      </c>
      <c r="K134" s="890">
        <f>SUM(K124:K131)</f>
        <v>89989</v>
      </c>
      <c r="L134" s="890">
        <f>SUM(L124:L131)</f>
        <v>17104</v>
      </c>
      <c r="M134" s="890">
        <f>SUM(M124:M131)</f>
        <v>107093</v>
      </c>
      <c r="N134" s="895">
        <f t="shared" si="93"/>
        <v>107093</v>
      </c>
      <c r="O134" s="895">
        <f t="shared" si="93"/>
        <v>0</v>
      </c>
      <c r="P134" s="1144">
        <f t="shared" si="93"/>
        <v>0</v>
      </c>
      <c r="Q134" s="608">
        <f t="shared" si="91"/>
        <v>107093</v>
      </c>
    </row>
    <row r="135" spans="1:17" s="62" customFormat="1" ht="29.1" customHeight="1" x14ac:dyDescent="0.2">
      <c r="A135" s="1242"/>
      <c r="B135" s="1581" t="s">
        <v>285</v>
      </c>
      <c r="C135" s="1582"/>
      <c r="D135" s="1582"/>
      <c r="E135" s="1582"/>
      <c r="F135" s="1582"/>
      <c r="G135" s="1582"/>
      <c r="H135" s="1582"/>
      <c r="I135" s="1582"/>
      <c r="J135" s="1582"/>
      <c r="K135" s="1582"/>
      <c r="L135" s="1582"/>
      <c r="M135" s="1582"/>
      <c r="N135" s="1582"/>
      <c r="O135" s="1582"/>
      <c r="P135" s="1583"/>
      <c r="Q135" s="607"/>
    </row>
    <row r="136" spans="1:17" s="55" customFormat="1" ht="18.95" customHeight="1" x14ac:dyDescent="0.2">
      <c r="A136" s="53" t="s">
        <v>375</v>
      </c>
      <c r="B136" s="83" t="s">
        <v>373</v>
      </c>
      <c r="C136" s="891">
        <v>0</v>
      </c>
      <c r="D136" s="1121"/>
      <c r="E136" s="891">
        <f>C136+D136</f>
        <v>0</v>
      </c>
      <c r="F136" s="891"/>
      <c r="G136" s="891">
        <f>E136+F136</f>
        <v>0</v>
      </c>
      <c r="H136" s="891"/>
      <c r="I136" s="884">
        <f t="shared" ref="I136:I146" si="94">G136+H136</f>
        <v>0</v>
      </c>
      <c r="J136" s="884"/>
      <c r="K136" s="884">
        <f t="shared" ref="K136:M145" si="95">I136+J136</f>
        <v>0</v>
      </c>
      <c r="L136" s="884"/>
      <c r="M136" s="884">
        <f t="shared" si="95"/>
        <v>0</v>
      </c>
      <c r="N136" s="891">
        <f t="shared" ref="N136:N145" si="96">M136</f>
        <v>0</v>
      </c>
      <c r="O136" s="891">
        <v>0</v>
      </c>
      <c r="P136" s="892">
        <v>0</v>
      </c>
      <c r="Q136" s="608">
        <f>SUM(N136:P136)</f>
        <v>0</v>
      </c>
    </row>
    <row r="137" spans="1:17" s="55" customFormat="1" ht="18.95" customHeight="1" x14ac:dyDescent="0.2">
      <c r="A137" s="53" t="s">
        <v>376</v>
      </c>
      <c r="B137" s="83" t="s">
        <v>374</v>
      </c>
      <c r="C137" s="891">
        <v>0</v>
      </c>
      <c r="D137" s="1121"/>
      <c r="E137" s="891">
        <f t="shared" ref="E137:E145" si="97">C137+D137</f>
        <v>0</v>
      </c>
      <c r="F137" s="891"/>
      <c r="G137" s="891">
        <f t="shared" ref="G137:G145" si="98">E137+F137</f>
        <v>0</v>
      </c>
      <c r="H137" s="891"/>
      <c r="I137" s="884">
        <f t="shared" si="94"/>
        <v>0</v>
      </c>
      <c r="J137" s="884"/>
      <c r="K137" s="884">
        <f t="shared" si="95"/>
        <v>0</v>
      </c>
      <c r="L137" s="884"/>
      <c r="M137" s="884">
        <f t="shared" si="95"/>
        <v>0</v>
      </c>
      <c r="N137" s="891">
        <f t="shared" si="96"/>
        <v>0</v>
      </c>
      <c r="O137" s="891">
        <v>0</v>
      </c>
      <c r="P137" s="892">
        <v>0</v>
      </c>
      <c r="Q137" s="608">
        <f t="shared" ref="Q137:Q146" si="99">SUM(N137:P137)</f>
        <v>0</v>
      </c>
    </row>
    <row r="138" spans="1:17" s="55" customFormat="1" ht="18.95" customHeight="1" x14ac:dyDescent="0.2">
      <c r="A138" s="53" t="s">
        <v>377</v>
      </c>
      <c r="B138" s="83" t="s">
        <v>383</v>
      </c>
      <c r="C138" s="891">
        <v>0</v>
      </c>
      <c r="D138" s="1121"/>
      <c r="E138" s="891">
        <f t="shared" si="97"/>
        <v>0</v>
      </c>
      <c r="F138" s="891"/>
      <c r="G138" s="891">
        <f t="shared" si="98"/>
        <v>0</v>
      </c>
      <c r="H138" s="891"/>
      <c r="I138" s="884">
        <f t="shared" si="94"/>
        <v>0</v>
      </c>
      <c r="J138" s="884"/>
      <c r="K138" s="884">
        <f t="shared" si="95"/>
        <v>0</v>
      </c>
      <c r="L138" s="884"/>
      <c r="M138" s="884">
        <f t="shared" si="95"/>
        <v>0</v>
      </c>
      <c r="N138" s="891">
        <f t="shared" si="96"/>
        <v>0</v>
      </c>
      <c r="O138" s="891">
        <v>0</v>
      </c>
      <c r="P138" s="892">
        <v>0</v>
      </c>
      <c r="Q138" s="608">
        <f t="shared" si="99"/>
        <v>0</v>
      </c>
    </row>
    <row r="139" spans="1:17" s="55" customFormat="1" ht="18.95" customHeight="1" x14ac:dyDescent="0.2">
      <c r="A139" s="53" t="s">
        <v>378</v>
      </c>
      <c r="B139" s="83" t="s">
        <v>48</v>
      </c>
      <c r="C139" s="891">
        <v>7000</v>
      </c>
      <c r="D139" s="1121"/>
      <c r="E139" s="891">
        <f t="shared" si="97"/>
        <v>7000</v>
      </c>
      <c r="F139" s="891"/>
      <c r="G139" s="891">
        <f t="shared" si="98"/>
        <v>7000</v>
      </c>
      <c r="H139" s="891"/>
      <c r="I139" s="884">
        <f t="shared" si="94"/>
        <v>7000</v>
      </c>
      <c r="J139" s="884"/>
      <c r="K139" s="884">
        <f t="shared" si="95"/>
        <v>7000</v>
      </c>
      <c r="L139" s="884">
        <v>3200</v>
      </c>
      <c r="M139" s="884">
        <f t="shared" si="95"/>
        <v>10200</v>
      </c>
      <c r="N139" s="891">
        <f t="shared" si="96"/>
        <v>10200</v>
      </c>
      <c r="O139" s="891">
        <v>0</v>
      </c>
      <c r="P139" s="892">
        <v>0</v>
      </c>
      <c r="Q139" s="608">
        <f t="shared" si="99"/>
        <v>10200</v>
      </c>
    </row>
    <row r="140" spans="1:17" s="55" customFormat="1" ht="18.95" customHeight="1" x14ac:dyDescent="0.2">
      <c r="A140" s="53" t="s">
        <v>379</v>
      </c>
      <c r="B140" s="83" t="s">
        <v>384</v>
      </c>
      <c r="C140" s="891">
        <v>0</v>
      </c>
      <c r="D140" s="1121"/>
      <c r="E140" s="891">
        <f t="shared" si="97"/>
        <v>0</v>
      </c>
      <c r="F140" s="891"/>
      <c r="G140" s="891">
        <f t="shared" si="98"/>
        <v>0</v>
      </c>
      <c r="H140" s="891"/>
      <c r="I140" s="884">
        <f t="shared" si="94"/>
        <v>0</v>
      </c>
      <c r="J140" s="884"/>
      <c r="K140" s="884">
        <f t="shared" si="95"/>
        <v>0</v>
      </c>
      <c r="L140" s="884"/>
      <c r="M140" s="884">
        <f t="shared" si="95"/>
        <v>0</v>
      </c>
      <c r="N140" s="891">
        <f t="shared" si="96"/>
        <v>0</v>
      </c>
      <c r="O140" s="891">
        <v>0</v>
      </c>
      <c r="P140" s="892">
        <v>0</v>
      </c>
      <c r="Q140" s="608">
        <f t="shared" si="99"/>
        <v>0</v>
      </c>
    </row>
    <row r="141" spans="1:17" s="55" customFormat="1" ht="18.95" customHeight="1" x14ac:dyDescent="0.2">
      <c r="A141" s="53" t="s">
        <v>380</v>
      </c>
      <c r="B141" s="83" t="s">
        <v>385</v>
      </c>
      <c r="C141" s="891">
        <v>0</v>
      </c>
      <c r="D141" s="1121"/>
      <c r="E141" s="891">
        <f t="shared" si="97"/>
        <v>0</v>
      </c>
      <c r="F141" s="891"/>
      <c r="G141" s="891">
        <f t="shared" si="98"/>
        <v>0</v>
      </c>
      <c r="H141" s="891"/>
      <c r="I141" s="884">
        <f t="shared" si="94"/>
        <v>0</v>
      </c>
      <c r="J141" s="884"/>
      <c r="K141" s="884">
        <f t="shared" si="95"/>
        <v>0</v>
      </c>
      <c r="L141" s="884"/>
      <c r="M141" s="884">
        <f t="shared" si="95"/>
        <v>0</v>
      </c>
      <c r="N141" s="891">
        <f t="shared" si="96"/>
        <v>0</v>
      </c>
      <c r="O141" s="891">
        <v>0</v>
      </c>
      <c r="P141" s="892">
        <v>0</v>
      </c>
      <c r="Q141" s="608">
        <f t="shared" si="99"/>
        <v>0</v>
      </c>
    </row>
    <row r="142" spans="1:17" s="55" customFormat="1" ht="18.95" customHeight="1" x14ac:dyDescent="0.2">
      <c r="A142" s="53" t="s">
        <v>381</v>
      </c>
      <c r="B142" s="83" t="s">
        <v>386</v>
      </c>
      <c r="C142" s="891">
        <v>0</v>
      </c>
      <c r="D142" s="1121"/>
      <c r="E142" s="891">
        <f t="shared" si="97"/>
        <v>0</v>
      </c>
      <c r="F142" s="891"/>
      <c r="G142" s="891">
        <f t="shared" si="98"/>
        <v>0</v>
      </c>
      <c r="H142" s="891"/>
      <c r="I142" s="884">
        <f t="shared" si="94"/>
        <v>0</v>
      </c>
      <c r="J142" s="884"/>
      <c r="K142" s="884">
        <f t="shared" si="95"/>
        <v>0</v>
      </c>
      <c r="L142" s="884"/>
      <c r="M142" s="884">
        <f t="shared" si="95"/>
        <v>0</v>
      </c>
      <c r="N142" s="891">
        <f t="shared" si="96"/>
        <v>0</v>
      </c>
      <c r="O142" s="891">
        <v>0</v>
      </c>
      <c r="P142" s="892">
        <v>0</v>
      </c>
      <c r="Q142" s="608">
        <f t="shared" si="99"/>
        <v>0</v>
      </c>
    </row>
    <row r="143" spans="1:17" s="55" customFormat="1" ht="18.95" customHeight="1" x14ac:dyDescent="0.2">
      <c r="A143" s="1091" t="s">
        <v>382</v>
      </c>
      <c r="B143" s="1096" t="s">
        <v>387</v>
      </c>
      <c r="C143" s="891">
        <f>SUM(C144:C145)</f>
        <v>156873</v>
      </c>
      <c r="D143" s="1121">
        <f t="shared" ref="D143:P143" si="100">SUM(D144:D145)</f>
        <v>8918</v>
      </c>
      <c r="E143" s="891">
        <f t="shared" si="100"/>
        <v>165791</v>
      </c>
      <c r="F143" s="891">
        <f t="shared" si="100"/>
        <v>495</v>
      </c>
      <c r="G143" s="891">
        <f t="shared" si="100"/>
        <v>166286</v>
      </c>
      <c r="H143" s="891">
        <f>H144+H145</f>
        <v>305</v>
      </c>
      <c r="I143" s="884">
        <f t="shared" si="94"/>
        <v>166591</v>
      </c>
      <c r="J143" s="884">
        <f>J144+J145</f>
        <v>151</v>
      </c>
      <c r="K143" s="884">
        <f t="shared" si="95"/>
        <v>166742</v>
      </c>
      <c r="L143" s="884">
        <f>L144+L145</f>
        <v>155</v>
      </c>
      <c r="M143" s="884">
        <f t="shared" si="95"/>
        <v>166897</v>
      </c>
      <c r="N143" s="891">
        <f t="shared" si="96"/>
        <v>166897</v>
      </c>
      <c r="O143" s="891">
        <f t="shared" si="100"/>
        <v>0</v>
      </c>
      <c r="P143" s="892">
        <f t="shared" si="100"/>
        <v>0</v>
      </c>
      <c r="Q143" s="608">
        <f t="shared" si="99"/>
        <v>166897</v>
      </c>
    </row>
    <row r="144" spans="1:17" s="55" customFormat="1" ht="18" customHeight="1" x14ac:dyDescent="0.2">
      <c r="A144" s="1093" t="s">
        <v>447</v>
      </c>
      <c r="B144" s="21" t="s">
        <v>448</v>
      </c>
      <c r="C144" s="891"/>
      <c r="D144" s="1121"/>
      <c r="E144" s="891"/>
      <c r="F144" s="891"/>
      <c r="G144" s="891">
        <f t="shared" si="98"/>
        <v>0</v>
      </c>
      <c r="H144" s="891"/>
      <c r="I144" s="884">
        <f t="shared" si="94"/>
        <v>0</v>
      </c>
      <c r="J144" s="884"/>
      <c r="K144" s="884">
        <f t="shared" si="95"/>
        <v>0</v>
      </c>
      <c r="L144" s="884"/>
      <c r="M144" s="884">
        <f t="shared" si="95"/>
        <v>0</v>
      </c>
      <c r="N144" s="891">
        <f t="shared" si="96"/>
        <v>0</v>
      </c>
      <c r="O144" s="891"/>
      <c r="P144" s="892"/>
      <c r="Q144" s="608">
        <f t="shared" si="99"/>
        <v>0</v>
      </c>
    </row>
    <row r="145" spans="1:17" s="55" customFormat="1" ht="18" customHeight="1" thickBot="1" x14ac:dyDescent="0.25">
      <c r="A145" s="1094" t="s">
        <v>449</v>
      </c>
      <c r="B145" s="89" t="s">
        <v>450</v>
      </c>
      <c r="C145" s="893">
        <v>156873</v>
      </c>
      <c r="D145" s="1123">
        <f>918+8000</f>
        <v>8918</v>
      </c>
      <c r="E145" s="893">
        <f t="shared" si="97"/>
        <v>165791</v>
      </c>
      <c r="F145" s="893">
        <v>495</v>
      </c>
      <c r="G145" s="893">
        <f t="shared" si="98"/>
        <v>166286</v>
      </c>
      <c r="H145" s="893">
        <v>305</v>
      </c>
      <c r="I145" s="1218">
        <f t="shared" si="94"/>
        <v>166591</v>
      </c>
      <c r="J145" s="1218">
        <v>151</v>
      </c>
      <c r="K145" s="1218">
        <f t="shared" si="95"/>
        <v>166742</v>
      </c>
      <c r="L145" s="1218">
        <v>155</v>
      </c>
      <c r="M145" s="884">
        <f t="shared" si="95"/>
        <v>166897</v>
      </c>
      <c r="N145" s="891">
        <f t="shared" si="96"/>
        <v>166897</v>
      </c>
      <c r="O145" s="893">
        <v>0</v>
      </c>
      <c r="P145" s="894">
        <v>0</v>
      </c>
      <c r="Q145" s="608">
        <f t="shared" si="99"/>
        <v>166897</v>
      </c>
    </row>
    <row r="146" spans="1:17" s="56" customFormat="1" ht="21" customHeight="1" thickBot="1" x14ac:dyDescent="0.25">
      <c r="A146" s="90"/>
      <c r="B146" s="91" t="s">
        <v>241</v>
      </c>
      <c r="C146" s="895">
        <f>SUM(C136:C143)</f>
        <v>163873</v>
      </c>
      <c r="D146" s="1124">
        <f t="shared" ref="D146:P146" si="101">SUM(D136:D143)</f>
        <v>8918</v>
      </c>
      <c r="E146" s="895">
        <f t="shared" si="101"/>
        <v>172791</v>
      </c>
      <c r="F146" s="895">
        <f t="shared" si="101"/>
        <v>495</v>
      </c>
      <c r="G146" s="895">
        <f t="shared" si="101"/>
        <v>173286</v>
      </c>
      <c r="H146" s="895">
        <f>SUM(H136:H143)</f>
        <v>305</v>
      </c>
      <c r="I146" s="890">
        <f t="shared" si="94"/>
        <v>173591</v>
      </c>
      <c r="J146" s="890">
        <f>SUM(J136:J143)</f>
        <v>151</v>
      </c>
      <c r="K146" s="890">
        <f>SUM(K136:K143)</f>
        <v>173742</v>
      </c>
      <c r="L146" s="890">
        <f>SUM(L136:L143)</f>
        <v>3355</v>
      </c>
      <c r="M146" s="890">
        <f>SUM(M136:M143)</f>
        <v>177097</v>
      </c>
      <c r="N146" s="895">
        <f>SUM(N136:N143)</f>
        <v>177097</v>
      </c>
      <c r="O146" s="1239">
        <f t="shared" si="101"/>
        <v>0</v>
      </c>
      <c r="P146" s="1144">
        <f t="shared" si="101"/>
        <v>0</v>
      </c>
      <c r="Q146" s="608">
        <f t="shared" si="99"/>
        <v>177097</v>
      </c>
    </row>
    <row r="147" spans="1:17" s="82" customFormat="1" ht="29.1" customHeight="1" x14ac:dyDescent="0.2">
      <c r="A147" s="1143"/>
      <c r="B147" s="1584" t="s">
        <v>288</v>
      </c>
      <c r="C147" s="1585"/>
      <c r="D147" s="1585"/>
      <c r="E147" s="1585"/>
      <c r="F147" s="1585"/>
      <c r="G147" s="1585"/>
      <c r="H147" s="1585"/>
      <c r="I147" s="1585"/>
      <c r="J147" s="1585"/>
      <c r="K147" s="1585"/>
      <c r="L147" s="1585"/>
      <c r="M147" s="1585"/>
      <c r="N147" s="1585"/>
      <c r="O147" s="1585"/>
      <c r="P147" s="1586"/>
      <c r="Q147" s="609"/>
    </row>
    <row r="148" spans="1:17" s="55" customFormat="1" ht="18.95" customHeight="1" x14ac:dyDescent="0.2">
      <c r="A148" s="53" t="s">
        <v>375</v>
      </c>
      <c r="B148" s="83" t="s">
        <v>373</v>
      </c>
      <c r="C148" s="891">
        <v>0</v>
      </c>
      <c r="D148" s="1121"/>
      <c r="E148" s="891">
        <f>C148+D148</f>
        <v>0</v>
      </c>
      <c r="F148" s="891"/>
      <c r="G148" s="891">
        <f>E148+F148</f>
        <v>0</v>
      </c>
      <c r="H148" s="891"/>
      <c r="I148" s="884">
        <f t="shared" ref="I148:I158" si="102">G148+H148</f>
        <v>0</v>
      </c>
      <c r="J148" s="884"/>
      <c r="K148" s="884">
        <f t="shared" ref="K148:M157" si="103">I148+J148</f>
        <v>0</v>
      </c>
      <c r="L148" s="884"/>
      <c r="M148" s="884">
        <f t="shared" si="103"/>
        <v>0</v>
      </c>
      <c r="N148" s="891">
        <f t="shared" ref="N148:N157" si="104">M148</f>
        <v>0</v>
      </c>
      <c r="O148" s="891">
        <v>0</v>
      </c>
      <c r="P148" s="892">
        <v>0</v>
      </c>
      <c r="Q148" s="608">
        <f>SUM(N148:P148)</f>
        <v>0</v>
      </c>
    </row>
    <row r="149" spans="1:17" s="55" customFormat="1" ht="18.95" customHeight="1" x14ac:dyDescent="0.2">
      <c r="A149" s="53" t="s">
        <v>376</v>
      </c>
      <c r="B149" s="83" t="s">
        <v>374</v>
      </c>
      <c r="C149" s="891">
        <v>0</v>
      </c>
      <c r="D149" s="1121"/>
      <c r="E149" s="891">
        <f t="shared" ref="E149:E157" si="105">C149+D149</f>
        <v>0</v>
      </c>
      <c r="F149" s="891"/>
      <c r="G149" s="891">
        <f t="shared" ref="G149:G157" si="106">E149+F149</f>
        <v>0</v>
      </c>
      <c r="H149" s="891"/>
      <c r="I149" s="884">
        <f t="shared" si="102"/>
        <v>0</v>
      </c>
      <c r="J149" s="884"/>
      <c r="K149" s="884">
        <f t="shared" si="103"/>
        <v>0</v>
      </c>
      <c r="L149" s="884"/>
      <c r="M149" s="884">
        <f t="shared" si="103"/>
        <v>0</v>
      </c>
      <c r="N149" s="891">
        <f t="shared" si="104"/>
        <v>0</v>
      </c>
      <c r="O149" s="891">
        <v>0</v>
      </c>
      <c r="P149" s="892">
        <v>0</v>
      </c>
      <c r="Q149" s="608">
        <f t="shared" ref="Q149:Q158" si="107">SUM(N149:P149)</f>
        <v>0</v>
      </c>
    </row>
    <row r="150" spans="1:17" s="55" customFormat="1" ht="18.95" customHeight="1" x14ac:dyDescent="0.2">
      <c r="A150" s="53" t="s">
        <v>377</v>
      </c>
      <c r="B150" s="83" t="s">
        <v>383</v>
      </c>
      <c r="C150" s="891">
        <v>0</v>
      </c>
      <c r="D150" s="1121"/>
      <c r="E150" s="891">
        <f t="shared" si="105"/>
        <v>0</v>
      </c>
      <c r="F150" s="891"/>
      <c r="G150" s="891">
        <f t="shared" si="106"/>
        <v>0</v>
      </c>
      <c r="H150" s="891"/>
      <c r="I150" s="884">
        <f t="shared" si="102"/>
        <v>0</v>
      </c>
      <c r="J150" s="884"/>
      <c r="K150" s="884">
        <f t="shared" si="103"/>
        <v>0</v>
      </c>
      <c r="L150" s="884"/>
      <c r="M150" s="884">
        <f t="shared" si="103"/>
        <v>0</v>
      </c>
      <c r="N150" s="891">
        <f t="shared" si="104"/>
        <v>0</v>
      </c>
      <c r="O150" s="891">
        <v>0</v>
      </c>
      <c r="P150" s="892">
        <v>0</v>
      </c>
      <c r="Q150" s="608">
        <f t="shared" si="107"/>
        <v>0</v>
      </c>
    </row>
    <row r="151" spans="1:17" s="55" customFormat="1" ht="18.95" customHeight="1" x14ac:dyDescent="0.2">
      <c r="A151" s="53" t="s">
        <v>378</v>
      </c>
      <c r="B151" s="83" t="s">
        <v>48</v>
      </c>
      <c r="C151" s="891">
        <v>42000</v>
      </c>
      <c r="D151" s="1121"/>
      <c r="E151" s="891">
        <f t="shared" si="105"/>
        <v>42000</v>
      </c>
      <c r="F151" s="891"/>
      <c r="G151" s="891">
        <f t="shared" si="106"/>
        <v>42000</v>
      </c>
      <c r="H151" s="891"/>
      <c r="I151" s="884">
        <f t="shared" si="102"/>
        <v>42000</v>
      </c>
      <c r="J151" s="884"/>
      <c r="K151" s="884">
        <f t="shared" si="103"/>
        <v>42000</v>
      </c>
      <c r="L151" s="884">
        <v>1174</v>
      </c>
      <c r="M151" s="884">
        <f t="shared" si="103"/>
        <v>43174</v>
      </c>
      <c r="N151" s="891">
        <f t="shared" si="104"/>
        <v>43174</v>
      </c>
      <c r="O151" s="891">
        <v>0</v>
      </c>
      <c r="P151" s="892">
        <v>0</v>
      </c>
      <c r="Q151" s="608">
        <f t="shared" si="107"/>
        <v>43174</v>
      </c>
    </row>
    <row r="152" spans="1:17" s="55" customFormat="1" ht="18.95" customHeight="1" x14ac:dyDescent="0.2">
      <c r="A152" s="53" t="s">
        <v>379</v>
      </c>
      <c r="B152" s="83" t="s">
        <v>384</v>
      </c>
      <c r="C152" s="891">
        <v>0</v>
      </c>
      <c r="D152" s="1121"/>
      <c r="E152" s="891">
        <f t="shared" si="105"/>
        <v>0</v>
      </c>
      <c r="F152" s="891"/>
      <c r="G152" s="891">
        <f t="shared" si="106"/>
        <v>0</v>
      </c>
      <c r="H152" s="891"/>
      <c r="I152" s="884">
        <f t="shared" si="102"/>
        <v>0</v>
      </c>
      <c r="J152" s="884"/>
      <c r="K152" s="884">
        <f t="shared" si="103"/>
        <v>0</v>
      </c>
      <c r="L152" s="884"/>
      <c r="M152" s="884">
        <f t="shared" si="103"/>
        <v>0</v>
      </c>
      <c r="N152" s="891">
        <f t="shared" si="104"/>
        <v>0</v>
      </c>
      <c r="O152" s="891">
        <v>0</v>
      </c>
      <c r="P152" s="892">
        <v>0</v>
      </c>
      <c r="Q152" s="608">
        <f t="shared" si="107"/>
        <v>0</v>
      </c>
    </row>
    <row r="153" spans="1:17" s="55" customFormat="1" ht="18.95" customHeight="1" x14ac:dyDescent="0.2">
      <c r="A153" s="53" t="s">
        <v>380</v>
      </c>
      <c r="B153" s="83" t="s">
        <v>385</v>
      </c>
      <c r="C153" s="891">
        <v>0</v>
      </c>
      <c r="D153" s="1121"/>
      <c r="E153" s="891">
        <f t="shared" si="105"/>
        <v>0</v>
      </c>
      <c r="F153" s="891"/>
      <c r="G153" s="891">
        <f t="shared" si="106"/>
        <v>0</v>
      </c>
      <c r="H153" s="891"/>
      <c r="I153" s="884">
        <f t="shared" si="102"/>
        <v>0</v>
      </c>
      <c r="J153" s="884"/>
      <c r="K153" s="884">
        <f t="shared" si="103"/>
        <v>0</v>
      </c>
      <c r="L153" s="884"/>
      <c r="M153" s="884">
        <f t="shared" si="103"/>
        <v>0</v>
      </c>
      <c r="N153" s="891">
        <f t="shared" si="104"/>
        <v>0</v>
      </c>
      <c r="O153" s="891">
        <v>0</v>
      </c>
      <c r="P153" s="892">
        <v>0</v>
      </c>
      <c r="Q153" s="608">
        <f t="shared" si="107"/>
        <v>0</v>
      </c>
    </row>
    <row r="154" spans="1:17" s="55" customFormat="1" ht="18.95" customHeight="1" x14ac:dyDescent="0.2">
      <c r="A154" s="53" t="s">
        <v>381</v>
      </c>
      <c r="B154" s="83" t="s">
        <v>386</v>
      </c>
      <c r="C154" s="891">
        <v>0</v>
      </c>
      <c r="D154" s="1121"/>
      <c r="E154" s="891">
        <f t="shared" si="105"/>
        <v>0</v>
      </c>
      <c r="F154" s="891"/>
      <c r="G154" s="891">
        <f t="shared" si="106"/>
        <v>0</v>
      </c>
      <c r="H154" s="891"/>
      <c r="I154" s="884">
        <f t="shared" si="102"/>
        <v>0</v>
      </c>
      <c r="J154" s="884"/>
      <c r="K154" s="884">
        <f t="shared" si="103"/>
        <v>0</v>
      </c>
      <c r="L154" s="884"/>
      <c r="M154" s="884">
        <f t="shared" si="103"/>
        <v>0</v>
      </c>
      <c r="N154" s="891">
        <f t="shared" si="104"/>
        <v>0</v>
      </c>
      <c r="O154" s="891">
        <v>0</v>
      </c>
      <c r="P154" s="892">
        <v>0</v>
      </c>
      <c r="Q154" s="608">
        <f t="shared" si="107"/>
        <v>0</v>
      </c>
    </row>
    <row r="155" spans="1:17" s="55" customFormat="1" ht="18.95" customHeight="1" x14ac:dyDescent="0.2">
      <c r="A155" s="1091" t="s">
        <v>382</v>
      </c>
      <c r="B155" s="1096" t="s">
        <v>387</v>
      </c>
      <c r="C155" s="893">
        <f>SUM(C156:C157)</f>
        <v>67259</v>
      </c>
      <c r="D155" s="1123">
        <f t="shared" ref="D155:P155" si="108">SUM(D156:D157)</f>
        <v>7922</v>
      </c>
      <c r="E155" s="893">
        <f t="shared" si="108"/>
        <v>75181</v>
      </c>
      <c r="F155" s="893">
        <f t="shared" si="108"/>
        <v>234</v>
      </c>
      <c r="G155" s="893">
        <f t="shared" si="108"/>
        <v>75415</v>
      </c>
      <c r="H155" s="893">
        <f>H156+H157</f>
        <v>140</v>
      </c>
      <c r="I155" s="884">
        <f t="shared" si="102"/>
        <v>75555</v>
      </c>
      <c r="J155" s="884">
        <f>J156+J157</f>
        <v>69</v>
      </c>
      <c r="K155" s="884">
        <f t="shared" si="103"/>
        <v>75624</v>
      </c>
      <c r="L155" s="884">
        <f>L156+L157</f>
        <v>71</v>
      </c>
      <c r="M155" s="884">
        <f t="shared" si="103"/>
        <v>75695</v>
      </c>
      <c r="N155" s="891">
        <f t="shared" si="104"/>
        <v>75695</v>
      </c>
      <c r="O155" s="893">
        <f t="shared" si="108"/>
        <v>0</v>
      </c>
      <c r="P155" s="894">
        <f t="shared" si="108"/>
        <v>0</v>
      </c>
      <c r="Q155" s="608">
        <f t="shared" si="107"/>
        <v>75695</v>
      </c>
    </row>
    <row r="156" spans="1:17" s="55" customFormat="1" ht="18" customHeight="1" x14ac:dyDescent="0.2">
      <c r="A156" s="1093" t="s">
        <v>447</v>
      </c>
      <c r="B156" s="21" t="s">
        <v>448</v>
      </c>
      <c r="C156" s="893"/>
      <c r="D156" s="1123">
        <v>2500</v>
      </c>
      <c r="E156" s="891">
        <v>2500</v>
      </c>
      <c r="F156" s="891"/>
      <c r="G156" s="891">
        <f t="shared" si="106"/>
        <v>2500</v>
      </c>
      <c r="H156" s="891"/>
      <c r="I156" s="884">
        <f t="shared" si="102"/>
        <v>2500</v>
      </c>
      <c r="J156" s="884"/>
      <c r="K156" s="884">
        <f t="shared" si="103"/>
        <v>2500</v>
      </c>
      <c r="L156" s="884"/>
      <c r="M156" s="884">
        <f t="shared" si="103"/>
        <v>2500</v>
      </c>
      <c r="N156" s="891">
        <f t="shared" si="104"/>
        <v>2500</v>
      </c>
      <c r="O156" s="893"/>
      <c r="P156" s="894"/>
      <c r="Q156" s="608">
        <f t="shared" si="107"/>
        <v>2500</v>
      </c>
    </row>
    <row r="157" spans="1:17" s="55" customFormat="1" ht="18" customHeight="1" thickBot="1" x14ac:dyDescent="0.25">
      <c r="A157" s="1094" t="s">
        <v>449</v>
      </c>
      <c r="B157" s="89" t="s">
        <v>450</v>
      </c>
      <c r="C157" s="893">
        <v>67259</v>
      </c>
      <c r="D157" s="1123">
        <f>422+5000</f>
        <v>5422</v>
      </c>
      <c r="E157" s="893">
        <f t="shared" si="105"/>
        <v>72681</v>
      </c>
      <c r="F157" s="893">
        <v>234</v>
      </c>
      <c r="G157" s="893">
        <f t="shared" si="106"/>
        <v>72915</v>
      </c>
      <c r="H157" s="893">
        <v>140</v>
      </c>
      <c r="I157" s="1218">
        <f t="shared" si="102"/>
        <v>73055</v>
      </c>
      <c r="J157" s="1218">
        <v>69</v>
      </c>
      <c r="K157" s="1218">
        <f t="shared" si="103"/>
        <v>73124</v>
      </c>
      <c r="L157" s="1218">
        <v>71</v>
      </c>
      <c r="M157" s="884">
        <f t="shared" si="103"/>
        <v>73195</v>
      </c>
      <c r="N157" s="891">
        <f t="shared" si="104"/>
        <v>73195</v>
      </c>
      <c r="O157" s="893">
        <v>0</v>
      </c>
      <c r="P157" s="894">
        <v>0</v>
      </c>
      <c r="Q157" s="608">
        <f t="shared" si="107"/>
        <v>73195</v>
      </c>
    </row>
    <row r="158" spans="1:17" s="56" customFormat="1" ht="21" customHeight="1" thickBot="1" x14ac:dyDescent="0.25">
      <c r="A158" s="90"/>
      <c r="B158" s="91" t="s">
        <v>241</v>
      </c>
      <c r="C158" s="895">
        <f>SUM(C148:C155)</f>
        <v>109259</v>
      </c>
      <c r="D158" s="1124">
        <f t="shared" ref="D158:P158" si="109">SUM(D148:D155)</f>
        <v>7922</v>
      </c>
      <c r="E158" s="895">
        <f t="shared" si="109"/>
        <v>117181</v>
      </c>
      <c r="F158" s="895">
        <f t="shared" si="109"/>
        <v>234</v>
      </c>
      <c r="G158" s="895">
        <f t="shared" si="109"/>
        <v>117415</v>
      </c>
      <c r="H158" s="895">
        <f>SUM(H148:H155)</f>
        <v>140</v>
      </c>
      <c r="I158" s="890">
        <f t="shared" si="102"/>
        <v>117555</v>
      </c>
      <c r="J158" s="890">
        <f>SUM(J148:J155)</f>
        <v>69</v>
      </c>
      <c r="K158" s="890">
        <f>SUM(K148:K155)</f>
        <v>117624</v>
      </c>
      <c r="L158" s="890">
        <f>SUM(L148:L155)</f>
        <v>1245</v>
      </c>
      <c r="M158" s="890">
        <f>SUM(M148:M155)</f>
        <v>118869</v>
      </c>
      <c r="N158" s="895">
        <f>SUM(N148:N155)</f>
        <v>118869</v>
      </c>
      <c r="O158" s="895">
        <f t="shared" si="109"/>
        <v>0</v>
      </c>
      <c r="P158" s="1144">
        <f t="shared" si="109"/>
        <v>0</v>
      </c>
      <c r="Q158" s="608">
        <f t="shared" si="107"/>
        <v>118869</v>
      </c>
    </row>
    <row r="159" spans="1:17" s="59" customFormat="1" ht="33" customHeight="1" thickBot="1" x14ac:dyDescent="0.25">
      <c r="A159" s="1578" t="s">
        <v>136</v>
      </c>
      <c r="B159" s="1587"/>
      <c r="C159" s="1587"/>
      <c r="D159" s="1587"/>
      <c r="E159" s="1587"/>
      <c r="F159" s="1587"/>
      <c r="G159" s="1587"/>
      <c r="H159" s="1587"/>
      <c r="I159" s="1587"/>
      <c r="J159" s="1587"/>
      <c r="K159" s="1587"/>
      <c r="L159" s="1587"/>
      <c r="M159" s="1587"/>
      <c r="N159" s="1588"/>
      <c r="O159" s="1588"/>
      <c r="P159" s="1589"/>
      <c r="Q159" s="610"/>
    </row>
    <row r="160" spans="1:17" ht="21" customHeight="1" x14ac:dyDescent="0.2">
      <c r="A160" s="86" t="s">
        <v>375</v>
      </c>
      <c r="B160" s="87" t="s">
        <v>373</v>
      </c>
      <c r="C160" s="884">
        <f t="shared" ref="C160:P166" si="110">SUM(C4+C16+C28+C40+C52+C64+C76)</f>
        <v>0</v>
      </c>
      <c r="D160" s="1116">
        <f t="shared" si="110"/>
        <v>2760</v>
      </c>
      <c r="E160" s="884">
        <f t="shared" si="110"/>
        <v>2760</v>
      </c>
      <c r="F160" s="884">
        <f t="shared" si="110"/>
        <v>12654</v>
      </c>
      <c r="G160" s="884">
        <f t="shared" si="110"/>
        <v>15414</v>
      </c>
      <c r="H160" s="884">
        <f>H4+H16+H28+H40+H52+H64+H76</f>
        <v>13602</v>
      </c>
      <c r="I160" s="884">
        <f>I4+I16+I28+I40+I52+I64+I76</f>
        <v>39506</v>
      </c>
      <c r="J160" s="884">
        <f>J4+J16+J28+J40+J52+J64+J76</f>
        <v>10721</v>
      </c>
      <c r="K160" s="884">
        <f t="shared" ref="K160:M170" si="111">K4+K16+K28+K40+K52+K64+K76</f>
        <v>50227</v>
      </c>
      <c r="L160" s="884">
        <f>L4+L16+L28+L40+L52+L64+L76</f>
        <v>33508</v>
      </c>
      <c r="M160" s="884">
        <f t="shared" si="111"/>
        <v>83735</v>
      </c>
      <c r="N160" s="884">
        <f t="shared" ref="N160:O166" si="112">SUM(N4+N16+N28+N40+N52+N64+N76)</f>
        <v>83735</v>
      </c>
      <c r="O160" s="884">
        <f t="shared" si="112"/>
        <v>0</v>
      </c>
      <c r="P160" s="885">
        <f t="shared" si="110"/>
        <v>0</v>
      </c>
      <c r="Q160" s="611">
        <f>SUM(N160:P160)</f>
        <v>83735</v>
      </c>
    </row>
    <row r="161" spans="1:17" ht="21" customHeight="1" x14ac:dyDescent="0.2">
      <c r="A161" s="53" t="s">
        <v>376</v>
      </c>
      <c r="B161" s="54" t="s">
        <v>374</v>
      </c>
      <c r="C161" s="886">
        <f t="shared" si="110"/>
        <v>0</v>
      </c>
      <c r="D161" s="1117">
        <f t="shared" si="110"/>
        <v>300</v>
      </c>
      <c r="E161" s="886">
        <f t="shared" si="110"/>
        <v>300</v>
      </c>
      <c r="F161" s="886">
        <f t="shared" si="110"/>
        <v>0</v>
      </c>
      <c r="G161" s="886">
        <f t="shared" si="110"/>
        <v>300</v>
      </c>
      <c r="H161" s="884">
        <f t="shared" ref="H161:H170" si="113">H5+H17+H29+H41+H53+H65+H77</f>
        <v>0</v>
      </c>
      <c r="I161" s="884">
        <f t="shared" ref="I161:I170" si="114">I5+I17+I29+I41+I53+I65+I77</f>
        <v>300</v>
      </c>
      <c r="J161" s="884">
        <f t="shared" ref="J161:L168" si="115">J5+J17+J29+J41+J53+J65+J77</f>
        <v>0</v>
      </c>
      <c r="K161" s="884">
        <f t="shared" si="111"/>
        <v>300</v>
      </c>
      <c r="L161" s="884">
        <f t="shared" si="115"/>
        <v>0</v>
      </c>
      <c r="M161" s="884">
        <f t="shared" si="111"/>
        <v>300</v>
      </c>
      <c r="N161" s="886">
        <f t="shared" si="112"/>
        <v>300</v>
      </c>
      <c r="O161" s="886">
        <f t="shared" si="112"/>
        <v>0</v>
      </c>
      <c r="P161" s="887">
        <f t="shared" si="110"/>
        <v>0</v>
      </c>
      <c r="Q161" s="611">
        <f t="shared" ref="Q161:Q170" si="116">SUM(N161:P161)</f>
        <v>300</v>
      </c>
    </row>
    <row r="162" spans="1:17" ht="21" customHeight="1" x14ac:dyDescent="0.2">
      <c r="A162" s="53" t="s">
        <v>377</v>
      </c>
      <c r="B162" s="54" t="s">
        <v>383</v>
      </c>
      <c r="C162" s="886">
        <f t="shared" si="110"/>
        <v>0</v>
      </c>
      <c r="D162" s="1117">
        <f t="shared" si="110"/>
        <v>0</v>
      </c>
      <c r="E162" s="886">
        <f t="shared" si="110"/>
        <v>0</v>
      </c>
      <c r="F162" s="886">
        <f t="shared" si="110"/>
        <v>0</v>
      </c>
      <c r="G162" s="886">
        <f t="shared" si="110"/>
        <v>0</v>
      </c>
      <c r="H162" s="884">
        <f t="shared" si="113"/>
        <v>0</v>
      </c>
      <c r="I162" s="884">
        <f t="shared" si="114"/>
        <v>0</v>
      </c>
      <c r="J162" s="884">
        <f t="shared" si="115"/>
        <v>0</v>
      </c>
      <c r="K162" s="884">
        <f t="shared" si="111"/>
        <v>0</v>
      </c>
      <c r="L162" s="884">
        <f t="shared" si="115"/>
        <v>0</v>
      </c>
      <c r="M162" s="884">
        <f t="shared" si="111"/>
        <v>0</v>
      </c>
      <c r="N162" s="886">
        <f t="shared" si="112"/>
        <v>0</v>
      </c>
      <c r="O162" s="886">
        <f t="shared" si="112"/>
        <v>0</v>
      </c>
      <c r="P162" s="887">
        <f t="shared" si="110"/>
        <v>0</v>
      </c>
      <c r="Q162" s="611">
        <f t="shared" si="116"/>
        <v>0</v>
      </c>
    </row>
    <row r="163" spans="1:17" ht="21" customHeight="1" x14ac:dyDescent="0.2">
      <c r="A163" s="53" t="s">
        <v>378</v>
      </c>
      <c r="B163" s="54" t="s">
        <v>48</v>
      </c>
      <c r="C163" s="886">
        <f t="shared" si="110"/>
        <v>164253</v>
      </c>
      <c r="D163" s="1117">
        <f t="shared" si="110"/>
        <v>10490</v>
      </c>
      <c r="E163" s="886">
        <f t="shared" si="110"/>
        <v>174743</v>
      </c>
      <c r="F163" s="886">
        <f t="shared" si="110"/>
        <v>2000</v>
      </c>
      <c r="G163" s="886">
        <f t="shared" si="110"/>
        <v>176743</v>
      </c>
      <c r="H163" s="884">
        <f t="shared" si="113"/>
        <v>1300</v>
      </c>
      <c r="I163" s="884">
        <f t="shared" si="114"/>
        <v>167553</v>
      </c>
      <c r="J163" s="884">
        <f t="shared" si="115"/>
        <v>3000</v>
      </c>
      <c r="K163" s="884">
        <f t="shared" si="111"/>
        <v>170553</v>
      </c>
      <c r="L163" s="884">
        <f t="shared" si="115"/>
        <v>8136</v>
      </c>
      <c r="M163" s="884">
        <f t="shared" si="111"/>
        <v>178689</v>
      </c>
      <c r="N163" s="886">
        <f t="shared" si="112"/>
        <v>169489</v>
      </c>
      <c r="O163" s="886">
        <f t="shared" si="112"/>
        <v>9200</v>
      </c>
      <c r="P163" s="887">
        <f t="shared" si="110"/>
        <v>0</v>
      </c>
      <c r="Q163" s="611">
        <f t="shared" si="116"/>
        <v>178689</v>
      </c>
    </row>
    <row r="164" spans="1:17" ht="21" customHeight="1" x14ac:dyDescent="0.2">
      <c r="A164" s="53" t="s">
        <v>379</v>
      </c>
      <c r="B164" s="54" t="s">
        <v>384</v>
      </c>
      <c r="C164" s="886">
        <f t="shared" si="110"/>
        <v>0</v>
      </c>
      <c r="D164" s="1117">
        <f t="shared" si="110"/>
        <v>0</v>
      </c>
      <c r="E164" s="886">
        <f t="shared" si="110"/>
        <v>0</v>
      </c>
      <c r="F164" s="886">
        <f t="shared" si="110"/>
        <v>0</v>
      </c>
      <c r="G164" s="886">
        <f t="shared" si="110"/>
        <v>0</v>
      </c>
      <c r="H164" s="884">
        <f t="shared" si="113"/>
        <v>0</v>
      </c>
      <c r="I164" s="884">
        <f t="shared" si="114"/>
        <v>0</v>
      </c>
      <c r="J164" s="884">
        <f t="shared" si="115"/>
        <v>0</v>
      </c>
      <c r="K164" s="884">
        <f t="shared" si="111"/>
        <v>0</v>
      </c>
      <c r="L164" s="884">
        <f t="shared" si="115"/>
        <v>0</v>
      </c>
      <c r="M164" s="884">
        <f t="shared" si="111"/>
        <v>0</v>
      </c>
      <c r="N164" s="886">
        <f t="shared" si="112"/>
        <v>0</v>
      </c>
      <c r="O164" s="886">
        <f t="shared" si="112"/>
        <v>0</v>
      </c>
      <c r="P164" s="887">
        <f t="shared" si="110"/>
        <v>0</v>
      </c>
      <c r="Q164" s="611">
        <f t="shared" si="116"/>
        <v>0</v>
      </c>
    </row>
    <row r="165" spans="1:17" ht="21" customHeight="1" x14ac:dyDescent="0.2">
      <c r="A165" s="53" t="s">
        <v>380</v>
      </c>
      <c r="B165" s="54" t="s">
        <v>385</v>
      </c>
      <c r="C165" s="886">
        <f t="shared" si="110"/>
        <v>0</v>
      </c>
      <c r="D165" s="1117">
        <f t="shared" si="110"/>
        <v>0</v>
      </c>
      <c r="E165" s="886">
        <f t="shared" si="110"/>
        <v>0</v>
      </c>
      <c r="F165" s="886">
        <f t="shared" si="110"/>
        <v>0</v>
      </c>
      <c r="G165" s="886">
        <f t="shared" si="110"/>
        <v>0</v>
      </c>
      <c r="H165" s="884">
        <f t="shared" si="113"/>
        <v>7441</v>
      </c>
      <c r="I165" s="884">
        <f t="shared" si="114"/>
        <v>7441</v>
      </c>
      <c r="J165" s="884">
        <f t="shared" si="115"/>
        <v>0</v>
      </c>
      <c r="K165" s="884">
        <f t="shared" si="111"/>
        <v>7441</v>
      </c>
      <c r="L165" s="884">
        <f t="shared" si="115"/>
        <v>-6791</v>
      </c>
      <c r="M165" s="884">
        <f t="shared" si="111"/>
        <v>650</v>
      </c>
      <c r="N165" s="886">
        <f t="shared" si="112"/>
        <v>650</v>
      </c>
      <c r="O165" s="886">
        <f t="shared" si="112"/>
        <v>0</v>
      </c>
      <c r="P165" s="887">
        <f t="shared" si="110"/>
        <v>0</v>
      </c>
      <c r="Q165" s="611">
        <f t="shared" si="116"/>
        <v>650</v>
      </c>
    </row>
    <row r="166" spans="1:17" ht="21" customHeight="1" x14ac:dyDescent="0.2">
      <c r="A166" s="53" t="s">
        <v>381</v>
      </c>
      <c r="B166" s="54" t="s">
        <v>386</v>
      </c>
      <c r="C166" s="886">
        <f t="shared" si="110"/>
        <v>0</v>
      </c>
      <c r="D166" s="1117">
        <f t="shared" si="110"/>
        <v>0</v>
      </c>
      <c r="E166" s="886">
        <f t="shared" si="110"/>
        <v>0</v>
      </c>
      <c r="F166" s="886">
        <f t="shared" si="110"/>
        <v>0</v>
      </c>
      <c r="G166" s="886">
        <f t="shared" si="110"/>
        <v>0</v>
      </c>
      <c r="H166" s="884">
        <f t="shared" si="113"/>
        <v>0</v>
      </c>
      <c r="I166" s="884">
        <f t="shared" si="114"/>
        <v>0</v>
      </c>
      <c r="J166" s="884">
        <f t="shared" si="115"/>
        <v>0</v>
      </c>
      <c r="K166" s="884">
        <f t="shared" si="111"/>
        <v>0</v>
      </c>
      <c r="L166" s="884">
        <f t="shared" si="115"/>
        <v>0</v>
      </c>
      <c r="M166" s="884">
        <f t="shared" si="111"/>
        <v>0</v>
      </c>
      <c r="N166" s="886">
        <f t="shared" si="112"/>
        <v>0</v>
      </c>
      <c r="O166" s="886">
        <f t="shared" si="112"/>
        <v>0</v>
      </c>
      <c r="P166" s="887">
        <f t="shared" si="110"/>
        <v>0</v>
      </c>
      <c r="Q166" s="611">
        <f t="shared" si="116"/>
        <v>0</v>
      </c>
    </row>
    <row r="167" spans="1:17" ht="21" customHeight="1" x14ac:dyDescent="0.2">
      <c r="A167" s="53" t="s">
        <v>382</v>
      </c>
      <c r="B167" s="54" t="s">
        <v>387</v>
      </c>
      <c r="C167" s="886">
        <f t="shared" ref="C167:O167" si="117">C11+C23+C35+C47+C59+C71+C83</f>
        <v>1112349</v>
      </c>
      <c r="D167" s="1117">
        <f t="shared" si="117"/>
        <v>40908</v>
      </c>
      <c r="E167" s="886">
        <f t="shared" si="117"/>
        <v>1153257</v>
      </c>
      <c r="F167" s="886">
        <f t="shared" si="117"/>
        <v>32108</v>
      </c>
      <c r="G167" s="886">
        <f t="shared" si="117"/>
        <v>1185365</v>
      </c>
      <c r="H167" s="884">
        <f t="shared" si="113"/>
        <v>9538</v>
      </c>
      <c r="I167" s="884">
        <f t="shared" si="114"/>
        <v>1194903</v>
      </c>
      <c r="J167" s="884">
        <f t="shared" si="115"/>
        <v>6409</v>
      </c>
      <c r="K167" s="884">
        <f t="shared" si="111"/>
        <v>1201312</v>
      </c>
      <c r="L167" s="884">
        <f t="shared" si="115"/>
        <v>1900</v>
      </c>
      <c r="M167" s="884">
        <f t="shared" si="111"/>
        <v>1203212</v>
      </c>
      <c r="N167" s="886">
        <f t="shared" si="117"/>
        <v>1197738</v>
      </c>
      <c r="O167" s="886">
        <f t="shared" si="117"/>
        <v>5474</v>
      </c>
      <c r="P167" s="887">
        <f>SUM(P13+P23+P37+P49+P61+P73+P85)</f>
        <v>0</v>
      </c>
      <c r="Q167" s="611">
        <f t="shared" si="116"/>
        <v>1203212</v>
      </c>
    </row>
    <row r="168" spans="1:17" s="57" customFormat="1" ht="21" customHeight="1" x14ac:dyDescent="0.2">
      <c r="A168" s="28" t="s">
        <v>447</v>
      </c>
      <c r="B168" s="21" t="s">
        <v>448</v>
      </c>
      <c r="C168" s="886">
        <v>38100</v>
      </c>
      <c r="D168" s="1117">
        <f>D12+D24+D36+D48+D60+D72+D84-38100</f>
        <v>-6805</v>
      </c>
      <c r="E168" s="886">
        <f>E12+E24+E36+E48+E60+E72+E84</f>
        <v>31295</v>
      </c>
      <c r="F168" s="886">
        <f>F12+F24+F36+F48+F60+F72+F84</f>
        <v>0</v>
      </c>
      <c r="G168" s="886">
        <f>G12+G24+G36+G48+G60+G72+G84</f>
        <v>31295</v>
      </c>
      <c r="H168" s="884">
        <f t="shared" si="113"/>
        <v>0</v>
      </c>
      <c r="I168" s="884">
        <f t="shared" si="114"/>
        <v>31295</v>
      </c>
      <c r="J168" s="884">
        <f t="shared" si="115"/>
        <v>0</v>
      </c>
      <c r="K168" s="884">
        <f t="shared" si="111"/>
        <v>31295</v>
      </c>
      <c r="L168" s="884">
        <f t="shared" si="115"/>
        <v>0</v>
      </c>
      <c r="M168" s="884">
        <f t="shared" si="111"/>
        <v>31295</v>
      </c>
      <c r="N168" s="886">
        <f>N12+N24+N36+N48+N60+N72+N84</f>
        <v>26870</v>
      </c>
      <c r="O168" s="886">
        <f>O12+O24+O36+O48+O60+O72+O84</f>
        <v>4425</v>
      </c>
      <c r="P168" s="892">
        <f>SUM(P14+P26+P38+P50+P62+P74+P86)</f>
        <v>0</v>
      </c>
      <c r="Q168" s="611">
        <f t="shared" si="116"/>
        <v>31295</v>
      </c>
    </row>
    <row r="169" spans="1:17" s="57" customFormat="1" ht="21" customHeight="1" thickBot="1" x14ac:dyDescent="0.25">
      <c r="A169" s="88" t="s">
        <v>449</v>
      </c>
      <c r="B169" s="89" t="s">
        <v>450</v>
      </c>
      <c r="C169" s="888">
        <f t="shared" ref="C169:O169" si="118">C167-C168</f>
        <v>1074249</v>
      </c>
      <c r="D169" s="1115">
        <f t="shared" si="118"/>
        <v>47713</v>
      </c>
      <c r="E169" s="888">
        <f t="shared" si="118"/>
        <v>1121962</v>
      </c>
      <c r="F169" s="888">
        <f t="shared" si="118"/>
        <v>32108</v>
      </c>
      <c r="G169" s="888">
        <f t="shared" si="118"/>
        <v>1154070</v>
      </c>
      <c r="H169" s="1218">
        <f t="shared" si="113"/>
        <v>9538</v>
      </c>
      <c r="I169" s="1218">
        <f t="shared" si="114"/>
        <v>1163608</v>
      </c>
      <c r="J169" s="1218">
        <f>J13+J25+J37+J49+J61+J73+J85</f>
        <v>6409</v>
      </c>
      <c r="K169" s="1218">
        <f t="shared" si="111"/>
        <v>1170017</v>
      </c>
      <c r="L169" s="1218">
        <f>L13+L25+L37+L49+L61+L73+L85</f>
        <v>1900</v>
      </c>
      <c r="M169" s="1218">
        <f t="shared" si="111"/>
        <v>1171917</v>
      </c>
      <c r="N169" s="893">
        <f t="shared" si="118"/>
        <v>1170868</v>
      </c>
      <c r="O169" s="893">
        <f t="shared" si="118"/>
        <v>1049</v>
      </c>
      <c r="P169" s="894">
        <f>SUM(P15+P27+P39+P51+P63+P75+P87)</f>
        <v>0</v>
      </c>
      <c r="Q169" s="611">
        <f t="shared" si="116"/>
        <v>1171917</v>
      </c>
    </row>
    <row r="170" spans="1:17" s="59" customFormat="1" ht="31.15" customHeight="1" thickBot="1" x14ac:dyDescent="0.25">
      <c r="A170" s="1578" t="s">
        <v>241</v>
      </c>
      <c r="B170" s="1579"/>
      <c r="C170" s="896">
        <f t="shared" ref="C170:O170" si="119">SUM(C160:C167)</f>
        <v>1276602</v>
      </c>
      <c r="D170" s="896">
        <f t="shared" si="119"/>
        <v>54458</v>
      </c>
      <c r="E170" s="896">
        <f t="shared" si="119"/>
        <v>1331060</v>
      </c>
      <c r="F170" s="896">
        <f t="shared" si="119"/>
        <v>46762</v>
      </c>
      <c r="G170" s="896">
        <f t="shared" si="119"/>
        <v>1377822</v>
      </c>
      <c r="H170" s="896">
        <f t="shared" si="113"/>
        <v>31881</v>
      </c>
      <c r="I170" s="896">
        <f t="shared" si="114"/>
        <v>1409703</v>
      </c>
      <c r="J170" s="896">
        <f>J14+J26+J38+J50+J62+J74+J86</f>
        <v>20130</v>
      </c>
      <c r="K170" s="896">
        <f t="shared" si="111"/>
        <v>1429833</v>
      </c>
      <c r="L170" s="896">
        <f>L14+L26+L38+L50+L62+L74+L86</f>
        <v>36753</v>
      </c>
      <c r="M170" s="896">
        <f t="shared" si="111"/>
        <v>1466586</v>
      </c>
      <c r="N170" s="896">
        <f t="shared" si="119"/>
        <v>1451912</v>
      </c>
      <c r="O170" s="896">
        <f t="shared" si="119"/>
        <v>14674</v>
      </c>
      <c r="P170" s="897"/>
      <c r="Q170" s="611">
        <f t="shared" si="116"/>
        <v>1466586</v>
      </c>
    </row>
    <row r="171" spans="1:17" x14ac:dyDescent="0.2">
      <c r="D171" s="1125"/>
    </row>
    <row r="173" spans="1:17" x14ac:dyDescent="0.2">
      <c r="A173" s="13"/>
      <c r="B173" s="80"/>
      <c r="C173" s="9"/>
      <c r="D173" s="1111"/>
      <c r="E173" s="9"/>
      <c r="F173" s="9"/>
      <c r="G173" s="9"/>
      <c r="H173" s="9"/>
      <c r="I173" s="9"/>
      <c r="J173" s="9"/>
      <c r="K173" s="9"/>
      <c r="L173" s="9"/>
      <c r="M173" s="9"/>
    </row>
    <row r="174" spans="1:17" x14ac:dyDescent="0.2">
      <c r="A174" s="13"/>
      <c r="B174" s="80"/>
      <c r="C174" s="9"/>
      <c r="D174" s="1112" t="s">
        <v>99</v>
      </c>
      <c r="E174" s="1109" t="s">
        <v>99</v>
      </c>
      <c r="F174" s="1109"/>
      <c r="G174" s="1109"/>
      <c r="H174" s="1109"/>
      <c r="I174" s="1109"/>
      <c r="J174" s="1109"/>
      <c r="K174" s="1109"/>
      <c r="L174" s="1109"/>
      <c r="M174" s="1109"/>
    </row>
    <row r="175" spans="1:17" x14ac:dyDescent="0.2">
      <c r="A175" s="13"/>
      <c r="C175" s="9"/>
      <c r="D175" s="1111" t="s">
        <v>99</v>
      </c>
      <c r="E175" s="9"/>
      <c r="F175" s="9"/>
      <c r="G175" s="9"/>
      <c r="H175" s="9"/>
      <c r="I175" s="9"/>
      <c r="J175" s="9"/>
      <c r="K175" s="9"/>
      <c r="L175" s="9"/>
      <c r="M175" s="9"/>
    </row>
    <row r="176" spans="1:17" x14ac:dyDescent="0.2">
      <c r="A176" s="13"/>
      <c r="C176" s="9"/>
      <c r="D176" s="1111"/>
      <c r="E176" s="9"/>
      <c r="F176" s="9"/>
      <c r="G176" s="9"/>
      <c r="H176" s="9"/>
      <c r="I176" s="9"/>
      <c r="J176" s="9"/>
      <c r="K176" s="9"/>
      <c r="L176" s="9"/>
      <c r="M176" s="9"/>
    </row>
    <row r="177" spans="1:17" x14ac:dyDescent="0.2">
      <c r="A177" s="13"/>
      <c r="C177" s="9"/>
      <c r="D177" s="1111"/>
      <c r="E177" s="9"/>
      <c r="F177" s="9"/>
      <c r="G177" s="9"/>
      <c r="H177" s="9"/>
      <c r="I177" s="9"/>
      <c r="J177" s="9"/>
      <c r="K177" s="9"/>
      <c r="L177" s="9"/>
      <c r="M177" s="9"/>
      <c r="Q177" s="9"/>
    </row>
    <row r="178" spans="1:17" x14ac:dyDescent="0.2">
      <c r="A178" s="13"/>
      <c r="C178" s="9"/>
      <c r="D178" s="1111"/>
      <c r="E178" s="9"/>
      <c r="F178" s="9"/>
      <c r="G178" s="9"/>
      <c r="H178" s="9"/>
      <c r="I178" s="9"/>
      <c r="J178" s="9"/>
      <c r="K178" s="9"/>
      <c r="L178" s="9"/>
      <c r="M178" s="9"/>
      <c r="Q178" s="9"/>
    </row>
    <row r="179" spans="1:17" x14ac:dyDescent="0.2">
      <c r="A179" s="13"/>
      <c r="C179" s="9"/>
      <c r="D179" s="1111"/>
      <c r="E179" s="9"/>
      <c r="F179" s="9"/>
      <c r="G179" s="9"/>
      <c r="H179" s="9"/>
      <c r="I179" s="9"/>
      <c r="J179" s="9"/>
      <c r="K179" s="9"/>
      <c r="L179" s="9"/>
      <c r="M179" s="9"/>
      <c r="Q179" s="9"/>
    </row>
    <row r="180" spans="1:17" x14ac:dyDescent="0.2">
      <c r="A180" s="13"/>
      <c r="C180" s="9"/>
      <c r="D180" s="1111"/>
      <c r="E180" s="9"/>
      <c r="F180" s="9"/>
      <c r="G180" s="9"/>
      <c r="H180" s="9"/>
      <c r="I180" s="9"/>
      <c r="J180" s="9"/>
      <c r="K180" s="9"/>
      <c r="L180" s="9"/>
      <c r="M180" s="9"/>
      <c r="Q180" s="9"/>
    </row>
    <row r="181" spans="1:17" x14ac:dyDescent="0.2">
      <c r="A181" s="13"/>
      <c r="C181" s="9"/>
      <c r="D181" s="1111"/>
      <c r="E181" s="9"/>
      <c r="F181" s="9"/>
      <c r="G181" s="9"/>
      <c r="H181" s="9"/>
      <c r="I181" s="9"/>
      <c r="J181" s="9"/>
      <c r="K181" s="9"/>
      <c r="L181" s="9"/>
      <c r="M181" s="9"/>
      <c r="Q181" s="9"/>
    </row>
    <row r="182" spans="1:17" x14ac:dyDescent="0.2">
      <c r="A182" s="13"/>
      <c r="C182" s="9"/>
      <c r="D182" s="1111"/>
      <c r="E182" s="9"/>
      <c r="F182" s="9"/>
      <c r="G182" s="9"/>
      <c r="H182" s="9"/>
      <c r="I182" s="9"/>
      <c r="J182" s="9"/>
      <c r="K182" s="9"/>
      <c r="L182" s="9"/>
      <c r="M182" s="9"/>
      <c r="Q182" s="9"/>
    </row>
    <row r="183" spans="1:17" x14ac:dyDescent="0.2">
      <c r="A183" s="13"/>
      <c r="C183" s="9"/>
      <c r="D183" s="1111"/>
      <c r="E183" s="9"/>
      <c r="F183" s="9"/>
      <c r="G183" s="9"/>
      <c r="H183" s="9"/>
      <c r="I183" s="9"/>
      <c r="J183" s="9"/>
      <c r="K183" s="9"/>
      <c r="L183" s="9"/>
      <c r="M183" s="9"/>
      <c r="Q183" s="9"/>
    </row>
    <row r="184" spans="1:17" x14ac:dyDescent="0.2">
      <c r="A184" s="13"/>
      <c r="C184" s="9"/>
      <c r="D184" s="1111"/>
      <c r="E184" s="9"/>
      <c r="F184" s="9"/>
      <c r="G184" s="9"/>
      <c r="H184" s="9"/>
      <c r="I184" s="9"/>
      <c r="J184" s="9"/>
      <c r="K184" s="9"/>
      <c r="L184" s="9"/>
      <c r="M184" s="9"/>
      <c r="Q184" s="9"/>
    </row>
    <row r="185" spans="1:17" x14ac:dyDescent="0.2">
      <c r="A185" s="13"/>
      <c r="C185" s="9"/>
      <c r="D185" s="1111"/>
      <c r="E185" s="9"/>
      <c r="F185" s="9"/>
      <c r="G185" s="9"/>
      <c r="H185" s="9"/>
      <c r="I185" s="9"/>
      <c r="J185" s="9"/>
      <c r="K185" s="9"/>
      <c r="L185" s="9"/>
      <c r="M185" s="9"/>
      <c r="Q185" s="9"/>
    </row>
    <row r="186" spans="1:17" x14ac:dyDescent="0.2">
      <c r="A186" s="13"/>
      <c r="C186" s="9"/>
      <c r="D186" s="1111"/>
      <c r="E186" s="9"/>
      <c r="F186" s="9"/>
      <c r="G186" s="9"/>
      <c r="H186" s="9"/>
      <c r="I186" s="9"/>
      <c r="J186" s="9"/>
      <c r="K186" s="9"/>
      <c r="L186" s="9"/>
      <c r="M186" s="9"/>
      <c r="Q186" s="9"/>
    </row>
    <row r="189" spans="1:17" x14ac:dyDescent="0.2">
      <c r="A189" s="13"/>
      <c r="B189" s="13"/>
      <c r="C189" s="9"/>
      <c r="D189" s="1111"/>
      <c r="E189" s="9"/>
      <c r="F189" s="9"/>
      <c r="G189" s="9"/>
      <c r="H189" s="9"/>
      <c r="I189" s="9"/>
      <c r="J189" s="9"/>
      <c r="K189" s="9"/>
      <c r="L189" s="9"/>
      <c r="M189" s="9"/>
      <c r="Q189" s="9"/>
    </row>
    <row r="190" spans="1:17" x14ac:dyDescent="0.2">
      <c r="A190" s="13"/>
      <c r="B190" s="13"/>
      <c r="C190" s="9"/>
      <c r="D190" s="1111"/>
      <c r="E190" s="9"/>
      <c r="F190" s="9"/>
      <c r="G190" s="9"/>
      <c r="H190" s="9"/>
      <c r="I190" s="9"/>
      <c r="J190" s="9"/>
      <c r="K190" s="9"/>
      <c r="L190" s="9"/>
      <c r="M190" s="9"/>
      <c r="Q190" s="9"/>
    </row>
  </sheetData>
  <protectedRanges>
    <protectedRange sqref="O15:P15" name="Tartomány21_1_1"/>
    <protectedRange sqref="N15" name="Tartomány20_1_1"/>
    <protectedRange sqref="C170:G170 N170:O170" name="Tartomány13_1_1"/>
    <protectedRange sqref="O3:P3 O27:P27 O39:P39 O51:P51 O63:P63 O75:P75 O87:P87 O99:P99 O111:P111 O123:P123 O135:P135" name="Tartomány11_1_1"/>
    <protectedRange sqref="N3 N27 N39 N51 N63 N75 N87 N99 N111 N123 N135" name="Tartomány10_1_1"/>
    <protectedRange sqref="C170:G170 N170:O170" name="Tartomány1_1_1"/>
  </protectedRanges>
  <mergeCells count="16">
    <mergeCell ref="A170:B170"/>
    <mergeCell ref="A1:P1"/>
    <mergeCell ref="B111:P111"/>
    <mergeCell ref="B123:P123"/>
    <mergeCell ref="B135:P135"/>
    <mergeCell ref="B147:P147"/>
    <mergeCell ref="A159:P159"/>
    <mergeCell ref="B39:P39"/>
    <mergeCell ref="B51:P51"/>
    <mergeCell ref="B63:P63"/>
    <mergeCell ref="B87:P87"/>
    <mergeCell ref="B99:P99"/>
    <mergeCell ref="B75:P75"/>
    <mergeCell ref="B3:P3"/>
    <mergeCell ref="B15:P15"/>
    <mergeCell ref="B27:P27"/>
  </mergeCells>
  <phoneticPr fontId="5" type="noConversion"/>
  <printOptions horizontalCentered="1"/>
  <pageMargins left="0.51181102362204722" right="0.51181102362204722" top="0.74803149606299213" bottom="0.74803149606299213" header="0.31496062992125984" footer="0.31496062992125984"/>
  <pageSetup paperSize="9" scale="70" fitToHeight="0" orientation="portrait" r:id="rId1"/>
  <headerFooter>
    <oddHeader>&amp;L&amp;"Arial,Dőlt" &amp;U4. melléklet a 3/2014. (II.15.) önkormányzati rendelethez</oddHeader>
    <oddFooter>&amp;C&amp;9 &amp;10Nagykőrös Város Önkormányzat 2014. évi költségvetési rendeletének V. sz. módosítása</oddFooter>
  </headerFooter>
  <rowBreaks count="3" manualBreakCount="3">
    <brk id="50" max="16383" man="1"/>
    <brk id="98" max="16383" man="1"/>
    <brk id="1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244"/>
  <sheetViews>
    <sheetView view="pageLayout" zoomScaleNormal="100" zoomScaleSheetLayoutView="85" workbookViewId="0">
      <selection activeCell="B3" sqref="B3"/>
    </sheetView>
  </sheetViews>
  <sheetFormatPr defaultColWidth="9.140625" defaultRowHeight="17.25" x14ac:dyDescent="0.3"/>
  <cols>
    <col min="1" max="1" width="8" style="683" customWidth="1"/>
    <col min="2" max="2" width="68.85546875" style="678" customWidth="1"/>
    <col min="3" max="3" width="15.42578125" style="679" bestFit="1" customWidth="1"/>
    <col min="4" max="4" width="14.85546875" style="679" hidden="1" customWidth="1"/>
    <col min="5" max="5" width="14.140625" style="679" hidden="1" customWidth="1"/>
    <col min="6" max="6" width="14.140625" style="1365" hidden="1" customWidth="1"/>
    <col min="7" max="8" width="14.140625" style="679" hidden="1" customWidth="1"/>
    <col min="9" max="9" width="15.42578125" style="679" bestFit="1" customWidth="1"/>
    <col min="10" max="10" width="14.140625" style="679" customWidth="1"/>
    <col min="11" max="11" width="15.85546875" style="679" customWidth="1"/>
    <col min="12" max="12" width="15.42578125" style="682" bestFit="1" customWidth="1"/>
    <col min="13" max="13" width="15" style="679" customWidth="1"/>
    <col min="14" max="14" width="14.42578125" style="682" customWidth="1"/>
    <col min="15" max="15" width="16.28515625" style="629" bestFit="1" customWidth="1"/>
    <col min="16" max="16384" width="9.140625" style="629"/>
  </cols>
  <sheetData>
    <row r="1" spans="1:15" ht="39" customHeight="1" thickBot="1" x14ac:dyDescent="0.35">
      <c r="A1" s="1603" t="s">
        <v>310</v>
      </c>
      <c r="B1" s="1603"/>
      <c r="C1" s="1603"/>
      <c r="D1" s="1603"/>
      <c r="E1" s="1603"/>
      <c r="F1" s="1603"/>
      <c r="G1" s="1603"/>
      <c r="H1" s="1603"/>
      <c r="I1" s="1603"/>
      <c r="J1" s="1603"/>
      <c r="K1" s="1603"/>
      <c r="L1" s="1603"/>
      <c r="M1" s="1603"/>
      <c r="N1" s="1603"/>
    </row>
    <row r="2" spans="1:15" s="630" customFormat="1" ht="48" customHeight="1" thickBot="1" x14ac:dyDescent="0.25">
      <c r="A2" s="621" t="s">
        <v>110</v>
      </c>
      <c r="B2" s="622" t="s">
        <v>111</v>
      </c>
      <c r="C2" s="623" t="s">
        <v>289</v>
      </c>
      <c r="D2" s="684" t="s">
        <v>152</v>
      </c>
      <c r="E2" s="620" t="s">
        <v>883</v>
      </c>
      <c r="F2" s="801" t="s">
        <v>879</v>
      </c>
      <c r="G2" s="801" t="s">
        <v>932</v>
      </c>
      <c r="H2" s="801" t="s">
        <v>947</v>
      </c>
      <c r="I2" s="801" t="s">
        <v>946</v>
      </c>
      <c r="J2" s="801" t="s">
        <v>947</v>
      </c>
      <c r="K2" s="801" t="s">
        <v>933</v>
      </c>
      <c r="L2" s="624" t="s">
        <v>325</v>
      </c>
      <c r="M2" s="624" t="s">
        <v>326</v>
      </c>
      <c r="N2" s="625" t="s">
        <v>308</v>
      </c>
    </row>
    <row r="3" spans="1:15" s="632" customFormat="1" ht="42" customHeight="1" thickBot="1" x14ac:dyDescent="0.25">
      <c r="A3" s="631" t="s">
        <v>375</v>
      </c>
      <c r="B3" s="530" t="s">
        <v>538</v>
      </c>
      <c r="C3" s="898">
        <f>C4+C39+C53</f>
        <v>1299158</v>
      </c>
      <c r="D3" s="898">
        <f t="shared" ref="D3:L3" si="0">D4+D53</f>
        <v>68727</v>
      </c>
      <c r="E3" s="898">
        <f t="shared" si="0"/>
        <v>1420586</v>
      </c>
      <c r="F3" s="898">
        <f t="shared" si="0"/>
        <v>181108</v>
      </c>
      <c r="G3" s="898">
        <f t="shared" si="0"/>
        <v>1601694</v>
      </c>
      <c r="H3" s="898">
        <f t="shared" si="0"/>
        <v>17025</v>
      </c>
      <c r="I3" s="898">
        <f t="shared" si="0"/>
        <v>1618719</v>
      </c>
      <c r="J3" s="898">
        <f>J4+J53</f>
        <v>-48491</v>
      </c>
      <c r="K3" s="898">
        <f t="shared" si="0"/>
        <v>1570228</v>
      </c>
      <c r="L3" s="898">
        <f t="shared" si="0"/>
        <v>1487807</v>
      </c>
      <c r="M3" s="898">
        <f>M4+M39+M53</f>
        <v>82421</v>
      </c>
      <c r="N3" s="899">
        <f>N4+N39+N53</f>
        <v>0</v>
      </c>
      <c r="O3" s="1525">
        <f>SUM(L3:N3)</f>
        <v>1570228</v>
      </c>
    </row>
    <row r="4" spans="1:15" s="636" customFormat="1" ht="37.5" customHeight="1" x14ac:dyDescent="0.2">
      <c r="A4" s="633" t="s">
        <v>392</v>
      </c>
      <c r="B4" s="634" t="s">
        <v>301</v>
      </c>
      <c r="C4" s="900">
        <f>C5+C13+C16+C33</f>
        <v>1238931</v>
      </c>
      <c r="D4" s="900">
        <f>D5+D13+D16+D33+D39</f>
        <v>8965</v>
      </c>
      <c r="E4" s="900">
        <f>E5+E13+E16+E33+E39</f>
        <v>1275999</v>
      </c>
      <c r="F4" s="900">
        <f>F5+F13+F16+F33+F39</f>
        <v>7686</v>
      </c>
      <c r="G4" s="900">
        <f>G5+G13+G16+G33+G39</f>
        <v>1283685</v>
      </c>
      <c r="H4" s="900">
        <f>H5+H16+H13+H33+H39</f>
        <v>1469</v>
      </c>
      <c r="I4" s="900">
        <f>I5+I13+I16+I33+I39</f>
        <v>1285154</v>
      </c>
      <c r="J4" s="900">
        <f>J5+J16+J13+J33+J39+J48</f>
        <v>96157</v>
      </c>
      <c r="K4" s="900">
        <f>K5+K13+K16+K33+K39+K48</f>
        <v>1381311</v>
      </c>
      <c r="L4" s="900">
        <f>L5+L13+L16+L33+L39+L48</f>
        <v>1381311</v>
      </c>
      <c r="M4" s="900">
        <f>M5+M13+M16+M33</f>
        <v>0</v>
      </c>
      <c r="N4" s="930">
        <f>N5+N13+N16+N33</f>
        <v>0</v>
      </c>
      <c r="O4" s="635">
        <f t="shared" ref="O4:O17" si="1">SUM(L4:N4)</f>
        <v>1381311</v>
      </c>
    </row>
    <row r="5" spans="1:15" s="636" customFormat="1" ht="37.5" customHeight="1" x14ac:dyDescent="0.2">
      <c r="A5" s="637" t="s">
        <v>393</v>
      </c>
      <c r="B5" s="638" t="s">
        <v>394</v>
      </c>
      <c r="C5" s="902">
        <f t="shared" ref="C5:G5" si="2">SUM(C6:C11)</f>
        <v>354317</v>
      </c>
      <c r="D5" s="902">
        <f t="shared" si="2"/>
        <v>0</v>
      </c>
      <c r="E5" s="902">
        <f t="shared" si="2"/>
        <v>354317</v>
      </c>
      <c r="F5" s="1352">
        <f t="shared" si="2"/>
        <v>0</v>
      </c>
      <c r="G5" s="902">
        <f t="shared" si="2"/>
        <v>354317</v>
      </c>
      <c r="H5" s="902">
        <f>SUM(H6:H11)</f>
        <v>0</v>
      </c>
      <c r="I5" s="902">
        <f>SUM(I6:I11)</f>
        <v>354317</v>
      </c>
      <c r="J5" s="902">
        <f>SUM(J6:J12)</f>
        <v>52075</v>
      </c>
      <c r="K5" s="902">
        <f>SUM(K6:K12)</f>
        <v>406392</v>
      </c>
      <c r="L5" s="902">
        <f>SUM(L6:L12)</f>
        <v>406392</v>
      </c>
      <c r="M5" s="902">
        <f>SUM(M6:M10)</f>
        <v>0</v>
      </c>
      <c r="N5" s="903">
        <f>SUM(N6:N10)</f>
        <v>0</v>
      </c>
      <c r="O5" s="635">
        <f t="shared" si="1"/>
        <v>406392</v>
      </c>
    </row>
    <row r="6" spans="1:15" s="641" customFormat="1" ht="25.5" customHeight="1" x14ac:dyDescent="0.2">
      <c r="A6" s="639"/>
      <c r="B6" s="575" t="s">
        <v>532</v>
      </c>
      <c r="C6" s="904">
        <v>216130</v>
      </c>
      <c r="D6" s="904"/>
      <c r="E6" s="904">
        <f t="shared" ref="E6:E12" si="3">C6+D6</f>
        <v>216130</v>
      </c>
      <c r="F6" s="1353"/>
      <c r="G6" s="932">
        <f t="shared" ref="G6:G12" si="4">E6+F6</f>
        <v>216130</v>
      </c>
      <c r="H6" s="904"/>
      <c r="I6" s="932">
        <f t="shared" ref="I6:K12" si="5">G6+H6</f>
        <v>216130</v>
      </c>
      <c r="J6" s="904"/>
      <c r="K6" s="932">
        <f t="shared" si="5"/>
        <v>216130</v>
      </c>
      <c r="L6" s="905">
        <f t="shared" ref="L6:L11" si="6">E6</f>
        <v>216130</v>
      </c>
      <c r="M6" s="905"/>
      <c r="N6" s="906"/>
      <c r="O6" s="640">
        <f t="shared" si="1"/>
        <v>216130</v>
      </c>
    </row>
    <row r="7" spans="1:15" s="641" customFormat="1" ht="25.5" customHeight="1" x14ac:dyDescent="0.2">
      <c r="A7" s="639"/>
      <c r="B7" s="575" t="s">
        <v>292</v>
      </c>
      <c r="C7" s="904">
        <v>0</v>
      </c>
      <c r="D7" s="904"/>
      <c r="E7" s="904">
        <f t="shared" si="3"/>
        <v>0</v>
      </c>
      <c r="F7" s="1353"/>
      <c r="G7" s="932">
        <f t="shared" si="4"/>
        <v>0</v>
      </c>
      <c r="H7" s="904"/>
      <c r="I7" s="932">
        <f t="shared" si="5"/>
        <v>0</v>
      </c>
      <c r="J7" s="904"/>
      <c r="K7" s="932">
        <f t="shared" si="5"/>
        <v>0</v>
      </c>
      <c r="L7" s="905">
        <f t="shared" si="6"/>
        <v>0</v>
      </c>
      <c r="M7" s="905"/>
      <c r="N7" s="906"/>
      <c r="O7" s="640">
        <f t="shared" si="1"/>
        <v>0</v>
      </c>
    </row>
    <row r="8" spans="1:15" s="641" customFormat="1" ht="25.5" customHeight="1" x14ac:dyDescent="0.2">
      <c r="A8" s="639"/>
      <c r="B8" s="575" t="s">
        <v>293</v>
      </c>
      <c r="C8" s="904">
        <v>73709</v>
      </c>
      <c r="D8" s="904"/>
      <c r="E8" s="904">
        <f t="shared" si="3"/>
        <v>73709</v>
      </c>
      <c r="F8" s="1353"/>
      <c r="G8" s="932">
        <f t="shared" si="4"/>
        <v>73709</v>
      </c>
      <c r="H8" s="904"/>
      <c r="I8" s="932">
        <f t="shared" si="5"/>
        <v>73709</v>
      </c>
      <c r="J8" s="904"/>
      <c r="K8" s="932">
        <f t="shared" si="5"/>
        <v>73709</v>
      </c>
      <c r="L8" s="905">
        <f t="shared" si="6"/>
        <v>73709</v>
      </c>
      <c r="M8" s="905"/>
      <c r="N8" s="906"/>
      <c r="O8" s="640">
        <f t="shared" si="1"/>
        <v>73709</v>
      </c>
    </row>
    <row r="9" spans="1:15" s="641" customFormat="1" ht="25.5" customHeight="1" x14ac:dyDescent="0.2">
      <c r="A9" s="639"/>
      <c r="B9" s="575" t="s">
        <v>533</v>
      </c>
      <c r="C9" s="904">
        <v>31444</v>
      </c>
      <c r="D9" s="904"/>
      <c r="E9" s="904">
        <f t="shared" si="3"/>
        <v>31444</v>
      </c>
      <c r="F9" s="1353"/>
      <c r="G9" s="932">
        <f t="shared" si="4"/>
        <v>31444</v>
      </c>
      <c r="H9" s="904"/>
      <c r="I9" s="932">
        <f t="shared" si="5"/>
        <v>31444</v>
      </c>
      <c r="J9" s="904"/>
      <c r="K9" s="932">
        <f t="shared" si="5"/>
        <v>31444</v>
      </c>
      <c r="L9" s="905">
        <f t="shared" si="6"/>
        <v>31444</v>
      </c>
      <c r="M9" s="905"/>
      <c r="N9" s="906"/>
      <c r="O9" s="640">
        <f t="shared" si="1"/>
        <v>31444</v>
      </c>
    </row>
    <row r="10" spans="1:15" s="641" customFormat="1" ht="25.5" customHeight="1" x14ac:dyDescent="0.2">
      <c r="A10" s="639"/>
      <c r="B10" s="575" t="s">
        <v>534</v>
      </c>
      <c r="C10" s="904">
        <v>32794</v>
      </c>
      <c r="D10" s="904"/>
      <c r="E10" s="904">
        <f t="shared" si="3"/>
        <v>32794</v>
      </c>
      <c r="F10" s="1353"/>
      <c r="G10" s="932">
        <f t="shared" si="4"/>
        <v>32794</v>
      </c>
      <c r="H10" s="904"/>
      <c r="I10" s="932">
        <f t="shared" si="5"/>
        <v>32794</v>
      </c>
      <c r="J10" s="904"/>
      <c r="K10" s="932">
        <f t="shared" si="5"/>
        <v>32794</v>
      </c>
      <c r="L10" s="905">
        <f t="shared" si="6"/>
        <v>32794</v>
      </c>
      <c r="M10" s="905"/>
      <c r="N10" s="906"/>
      <c r="O10" s="640">
        <f t="shared" si="1"/>
        <v>32794</v>
      </c>
    </row>
    <row r="11" spans="1:15" s="641" customFormat="1" ht="25.5" customHeight="1" x14ac:dyDescent="0.2">
      <c r="A11" s="639"/>
      <c r="B11" s="575" t="s">
        <v>496</v>
      </c>
      <c r="C11" s="910">
        <v>240</v>
      </c>
      <c r="D11" s="904"/>
      <c r="E11" s="904">
        <f t="shared" si="3"/>
        <v>240</v>
      </c>
      <c r="F11" s="1353"/>
      <c r="G11" s="932">
        <f t="shared" si="4"/>
        <v>240</v>
      </c>
      <c r="H11" s="904"/>
      <c r="I11" s="932">
        <f t="shared" si="5"/>
        <v>240</v>
      </c>
      <c r="J11" s="904"/>
      <c r="K11" s="932">
        <f t="shared" si="5"/>
        <v>240</v>
      </c>
      <c r="L11" s="905">
        <f t="shared" si="6"/>
        <v>240</v>
      </c>
      <c r="M11" s="907"/>
      <c r="N11" s="906"/>
      <c r="O11" s="640">
        <f t="shared" si="1"/>
        <v>240</v>
      </c>
    </row>
    <row r="12" spans="1:15" s="641" customFormat="1" ht="25.5" customHeight="1" x14ac:dyDescent="0.2">
      <c r="A12" s="639"/>
      <c r="B12" s="575" t="s">
        <v>296</v>
      </c>
      <c r="C12" s="910"/>
      <c r="D12" s="910"/>
      <c r="E12" s="910">
        <f t="shared" si="3"/>
        <v>0</v>
      </c>
      <c r="F12" s="1354"/>
      <c r="G12" s="910">
        <f t="shared" si="4"/>
        <v>0</v>
      </c>
      <c r="H12" s="910"/>
      <c r="I12" s="910">
        <f t="shared" si="5"/>
        <v>0</v>
      </c>
      <c r="J12" s="1543">
        <v>52075</v>
      </c>
      <c r="K12" s="910">
        <f t="shared" si="5"/>
        <v>52075</v>
      </c>
      <c r="L12" s="905">
        <v>52075</v>
      </c>
      <c r="M12" s="905"/>
      <c r="N12" s="906"/>
      <c r="O12" s="640">
        <f t="shared" ref="O12" si="7">SUM(L12:N12)</f>
        <v>52075</v>
      </c>
    </row>
    <row r="13" spans="1:15" s="636" customFormat="1" ht="37.5" customHeight="1" x14ac:dyDescent="0.2">
      <c r="A13" s="637" t="s">
        <v>429</v>
      </c>
      <c r="B13" s="638" t="s">
        <v>531</v>
      </c>
      <c r="C13" s="908">
        <f t="shared" ref="C13:M13" si="8">SUM(C14:C15)</f>
        <v>354667</v>
      </c>
      <c r="D13" s="908">
        <f t="shared" si="8"/>
        <v>0</v>
      </c>
      <c r="E13" s="902">
        <f t="shared" si="8"/>
        <v>356249</v>
      </c>
      <c r="F13" s="1246">
        <f t="shared" si="8"/>
        <v>0</v>
      </c>
      <c r="G13" s="908">
        <f t="shared" si="8"/>
        <v>356249</v>
      </c>
      <c r="H13" s="908">
        <f>SUM(H14:H15)</f>
        <v>0</v>
      </c>
      <c r="I13" s="908">
        <f>SUM(I14:I15)</f>
        <v>356249</v>
      </c>
      <c r="J13" s="1544">
        <f>SUM(J14:J15)</f>
        <v>723</v>
      </c>
      <c r="K13" s="908">
        <f>SUM(K14:K15)</f>
        <v>356972</v>
      </c>
      <c r="L13" s="908">
        <f t="shared" si="8"/>
        <v>356972</v>
      </c>
      <c r="M13" s="908">
        <f t="shared" si="8"/>
        <v>0</v>
      </c>
      <c r="N13" s="909"/>
      <c r="O13" s="635">
        <f t="shared" si="1"/>
        <v>356972</v>
      </c>
    </row>
    <row r="14" spans="1:15" s="641" customFormat="1" ht="34.5" customHeight="1" x14ac:dyDescent="0.2">
      <c r="A14" s="639"/>
      <c r="B14" s="575" t="s">
        <v>535</v>
      </c>
      <c r="C14" s="910">
        <v>315187</v>
      </c>
      <c r="D14" s="910"/>
      <c r="E14" s="910">
        <v>316545</v>
      </c>
      <c r="F14" s="910"/>
      <c r="G14" s="910">
        <f>E14+F14</f>
        <v>316545</v>
      </c>
      <c r="H14" s="910"/>
      <c r="I14" s="910">
        <f>G14+H14</f>
        <v>316545</v>
      </c>
      <c r="J14" s="1543">
        <v>686</v>
      </c>
      <c r="K14" s="910">
        <f>I14+J14</f>
        <v>317231</v>
      </c>
      <c r="L14" s="910">
        <v>317231</v>
      </c>
      <c r="M14" s="905"/>
      <c r="N14" s="906"/>
      <c r="O14" s="640">
        <f t="shared" si="1"/>
        <v>317231</v>
      </c>
    </row>
    <row r="15" spans="1:15" s="641" customFormat="1" ht="25.5" customHeight="1" x14ac:dyDescent="0.2">
      <c r="A15" s="639"/>
      <c r="B15" s="575" t="s">
        <v>536</v>
      </c>
      <c r="C15" s="910">
        <v>39480</v>
      </c>
      <c r="D15" s="910"/>
      <c r="E15" s="910">
        <v>39704</v>
      </c>
      <c r="F15" s="910"/>
      <c r="G15" s="910">
        <f>E15+F15</f>
        <v>39704</v>
      </c>
      <c r="H15" s="910"/>
      <c r="I15" s="910">
        <f>G15+H15</f>
        <v>39704</v>
      </c>
      <c r="J15" s="1543">
        <v>37</v>
      </c>
      <c r="K15" s="910">
        <f>I15+J15</f>
        <v>39741</v>
      </c>
      <c r="L15" s="910">
        <v>39741</v>
      </c>
      <c r="M15" s="905"/>
      <c r="N15" s="906"/>
      <c r="O15" s="640">
        <f t="shared" si="1"/>
        <v>39741</v>
      </c>
    </row>
    <row r="16" spans="1:15" s="636" customFormat="1" ht="37.5" customHeight="1" x14ac:dyDescent="0.2">
      <c r="A16" s="637" t="s">
        <v>430</v>
      </c>
      <c r="B16" s="638" t="s">
        <v>501</v>
      </c>
      <c r="C16" s="908">
        <f>SUM(C17:C31)</f>
        <v>486673</v>
      </c>
      <c r="D16" s="908">
        <f>SUM(D17:D32)</f>
        <v>6407</v>
      </c>
      <c r="E16" s="908">
        <f t="shared" ref="E16:L16" si="9">E17+E22+E23+E24+E25+E26+E27+E28+E29+E30+E31+E32</f>
        <v>503011</v>
      </c>
      <c r="F16" s="908">
        <f t="shared" si="9"/>
        <v>4211</v>
      </c>
      <c r="G16" s="908">
        <f t="shared" si="9"/>
        <v>507222</v>
      </c>
      <c r="H16" s="908">
        <f t="shared" si="9"/>
        <v>1469</v>
      </c>
      <c r="I16" s="908">
        <f>I17+I22+I23+I24+I25+I26+I27+I28+I29+I30+I31+I32</f>
        <v>508691</v>
      </c>
      <c r="J16" s="1544">
        <f>J17+J22+J23+J24+J25+J26+J27+J28+J29+J30+J31+J32</f>
        <v>-131939</v>
      </c>
      <c r="K16" s="908">
        <f>K17+K22+K23+K24+K25+K26+K27+K28+K29+K30+K31+K32</f>
        <v>376752</v>
      </c>
      <c r="L16" s="908">
        <f t="shared" si="9"/>
        <v>376752</v>
      </c>
      <c r="M16" s="908">
        <f>SUM(M22:M31)+M17</f>
        <v>0</v>
      </c>
      <c r="N16" s="911">
        <f>SUM(N22:N31)+N17</f>
        <v>0</v>
      </c>
      <c r="O16" s="635">
        <f t="shared" si="1"/>
        <v>376752</v>
      </c>
    </row>
    <row r="17" spans="1:15" s="641" customFormat="1" ht="25.5" customHeight="1" x14ac:dyDescent="0.2">
      <c r="A17" s="639"/>
      <c r="B17" s="575" t="s">
        <v>503</v>
      </c>
      <c r="C17" s="910">
        <v>250000</v>
      </c>
      <c r="D17" s="910"/>
      <c r="E17" s="910">
        <f t="shared" ref="E17:I17" si="10">E18+E19+E20+E21</f>
        <v>250000</v>
      </c>
      <c r="F17" s="1354">
        <f t="shared" si="10"/>
        <v>0</v>
      </c>
      <c r="G17" s="910">
        <f t="shared" si="10"/>
        <v>250000</v>
      </c>
      <c r="H17" s="910">
        <f t="shared" si="10"/>
        <v>0</v>
      </c>
      <c r="I17" s="910">
        <f t="shared" si="10"/>
        <v>250000</v>
      </c>
      <c r="J17" s="1543">
        <f>J18+J19+J20+J21</f>
        <v>-66431</v>
      </c>
      <c r="K17" s="910">
        <f>K18+K19+K20+K21</f>
        <v>183569</v>
      </c>
      <c r="L17" s="905">
        <f>SUM(L18:L21)</f>
        <v>183569</v>
      </c>
      <c r="M17" s="905"/>
      <c r="N17" s="906"/>
      <c r="O17" s="640">
        <f t="shared" si="1"/>
        <v>183569</v>
      </c>
    </row>
    <row r="18" spans="1:15" s="661" customFormat="1" ht="25.5" customHeight="1" x14ac:dyDescent="0.2">
      <c r="A18" s="654"/>
      <c r="B18" s="1244" t="s">
        <v>840</v>
      </c>
      <c r="C18" s="923"/>
      <c r="D18" s="923"/>
      <c r="E18" s="923">
        <v>31500</v>
      </c>
      <c r="F18" s="1356"/>
      <c r="G18" s="923">
        <f t="shared" ref="G18:G32" si="11">E18+F18</f>
        <v>31500</v>
      </c>
      <c r="H18" s="923"/>
      <c r="I18" s="923">
        <f t="shared" ref="I18:K32" si="12">G18+H18</f>
        <v>31500</v>
      </c>
      <c r="J18" s="1545">
        <v>-2835</v>
      </c>
      <c r="K18" s="923">
        <f t="shared" si="12"/>
        <v>28665</v>
      </c>
      <c r="L18" s="924">
        <v>28665</v>
      </c>
      <c r="M18" s="924"/>
      <c r="N18" s="925"/>
      <c r="O18" s="1245"/>
    </row>
    <row r="19" spans="1:15" s="661" customFormat="1" ht="25.5" customHeight="1" x14ac:dyDescent="0.2">
      <c r="A19" s="654"/>
      <c r="B19" s="1244" t="s">
        <v>849</v>
      </c>
      <c r="C19" s="923"/>
      <c r="D19" s="923"/>
      <c r="E19" s="923">
        <v>60000</v>
      </c>
      <c r="F19" s="1356"/>
      <c r="G19" s="923">
        <f t="shared" si="11"/>
        <v>60000</v>
      </c>
      <c r="H19" s="923"/>
      <c r="I19" s="923">
        <f t="shared" si="12"/>
        <v>60000</v>
      </c>
      <c r="J19" s="1545">
        <v>-1491</v>
      </c>
      <c r="K19" s="923">
        <f t="shared" si="12"/>
        <v>58509</v>
      </c>
      <c r="L19" s="924">
        <v>58509</v>
      </c>
      <c r="M19" s="924"/>
      <c r="N19" s="925"/>
      <c r="O19" s="1245"/>
    </row>
    <row r="20" spans="1:15" s="661" customFormat="1" ht="25.5" customHeight="1" x14ac:dyDescent="0.2">
      <c r="A20" s="654"/>
      <c r="B20" s="1244" t="s">
        <v>850</v>
      </c>
      <c r="C20" s="923"/>
      <c r="D20" s="923"/>
      <c r="E20" s="923">
        <v>156500</v>
      </c>
      <c r="F20" s="1356"/>
      <c r="G20" s="923">
        <f t="shared" si="11"/>
        <v>156500</v>
      </c>
      <c r="H20" s="923"/>
      <c r="I20" s="923">
        <f t="shared" si="12"/>
        <v>156500</v>
      </c>
      <c r="J20" s="1545">
        <v>-60955</v>
      </c>
      <c r="K20" s="923">
        <f t="shared" si="12"/>
        <v>95545</v>
      </c>
      <c r="L20" s="924">
        <v>95545</v>
      </c>
      <c r="M20" s="924"/>
      <c r="N20" s="925"/>
      <c r="O20" s="1245"/>
    </row>
    <row r="21" spans="1:15" s="661" customFormat="1" ht="25.5" customHeight="1" x14ac:dyDescent="0.2">
      <c r="A21" s="654"/>
      <c r="B21" s="1244" t="s">
        <v>126</v>
      </c>
      <c r="C21" s="923"/>
      <c r="D21" s="923"/>
      <c r="E21" s="923">
        <v>2000</v>
      </c>
      <c r="F21" s="1356"/>
      <c r="G21" s="923">
        <f t="shared" si="11"/>
        <v>2000</v>
      </c>
      <c r="H21" s="923"/>
      <c r="I21" s="923">
        <f t="shared" si="12"/>
        <v>2000</v>
      </c>
      <c r="J21" s="1545">
        <v>-1150</v>
      </c>
      <c r="K21" s="923">
        <f t="shared" si="12"/>
        <v>850</v>
      </c>
      <c r="L21" s="924">
        <v>850</v>
      </c>
      <c r="M21" s="924"/>
      <c r="N21" s="925"/>
      <c r="O21" s="1245"/>
    </row>
    <row r="22" spans="1:15" s="641" customFormat="1" ht="25.5" customHeight="1" x14ac:dyDescent="0.2">
      <c r="A22" s="639"/>
      <c r="B22" s="575" t="s">
        <v>296</v>
      </c>
      <c r="C22" s="910">
        <v>52075</v>
      </c>
      <c r="D22" s="910"/>
      <c r="E22" s="910">
        <f t="shared" ref="E22:E31" si="13">C22+D22</f>
        <v>52075</v>
      </c>
      <c r="F22" s="1354"/>
      <c r="G22" s="910">
        <f t="shared" si="11"/>
        <v>52075</v>
      </c>
      <c r="H22" s="910"/>
      <c r="I22" s="910">
        <f t="shared" si="12"/>
        <v>52075</v>
      </c>
      <c r="J22" s="1543">
        <v>-52075</v>
      </c>
      <c r="K22" s="910">
        <f t="shared" si="12"/>
        <v>0</v>
      </c>
      <c r="L22" s="905">
        <v>0</v>
      </c>
      <c r="M22" s="905"/>
      <c r="N22" s="906"/>
      <c r="O22" s="640">
        <f t="shared" ref="O22:O31" si="14">SUM(L22:N22)</f>
        <v>0</v>
      </c>
    </row>
    <row r="23" spans="1:15" s="641" customFormat="1" ht="25.5" customHeight="1" x14ac:dyDescent="0.2">
      <c r="A23" s="639"/>
      <c r="B23" s="584" t="s">
        <v>497</v>
      </c>
      <c r="C23" s="910">
        <v>19191</v>
      </c>
      <c r="D23" s="910"/>
      <c r="E23" s="910">
        <f t="shared" si="13"/>
        <v>19191</v>
      </c>
      <c r="F23" s="1354"/>
      <c r="G23" s="910">
        <f t="shared" si="11"/>
        <v>19191</v>
      </c>
      <c r="H23" s="910"/>
      <c r="I23" s="910">
        <f t="shared" si="12"/>
        <v>19191</v>
      </c>
      <c r="J23" s="1543"/>
      <c r="K23" s="910">
        <f t="shared" si="12"/>
        <v>19191</v>
      </c>
      <c r="L23" s="905">
        <f t="shared" ref="L23:L26" si="15">E23</f>
        <v>19191</v>
      </c>
      <c r="M23" s="905"/>
      <c r="N23" s="906"/>
      <c r="O23" s="640">
        <f t="shared" si="14"/>
        <v>19191</v>
      </c>
    </row>
    <row r="24" spans="1:15" s="641" customFormat="1" ht="25.5" customHeight="1" x14ac:dyDescent="0.2">
      <c r="A24" s="639"/>
      <c r="B24" s="584" t="s">
        <v>297</v>
      </c>
      <c r="C24" s="910">
        <v>4982</v>
      </c>
      <c r="D24" s="910"/>
      <c r="E24" s="910">
        <f t="shared" si="13"/>
        <v>4982</v>
      </c>
      <c r="F24" s="1354"/>
      <c r="G24" s="910">
        <f t="shared" si="11"/>
        <v>4982</v>
      </c>
      <c r="H24" s="910"/>
      <c r="I24" s="910">
        <f t="shared" si="12"/>
        <v>4982</v>
      </c>
      <c r="J24" s="1543">
        <v>-111</v>
      </c>
      <c r="K24" s="910">
        <f t="shared" si="12"/>
        <v>4871</v>
      </c>
      <c r="L24" s="905">
        <v>4871</v>
      </c>
      <c r="M24" s="905"/>
      <c r="N24" s="906"/>
      <c r="O24" s="640">
        <f t="shared" si="14"/>
        <v>4871</v>
      </c>
    </row>
    <row r="25" spans="1:15" s="642" customFormat="1" ht="25.5" customHeight="1" x14ac:dyDescent="0.2">
      <c r="A25" s="639"/>
      <c r="B25" s="584" t="s">
        <v>298</v>
      </c>
      <c r="C25" s="910">
        <v>5075</v>
      </c>
      <c r="D25" s="910"/>
      <c r="E25" s="910">
        <f t="shared" si="13"/>
        <v>5075</v>
      </c>
      <c r="F25" s="1354"/>
      <c r="G25" s="910">
        <f t="shared" si="11"/>
        <v>5075</v>
      </c>
      <c r="H25" s="910"/>
      <c r="I25" s="910">
        <f t="shared" si="12"/>
        <v>5075</v>
      </c>
      <c r="J25" s="1543">
        <v>725</v>
      </c>
      <c r="K25" s="910">
        <f t="shared" si="12"/>
        <v>5800</v>
      </c>
      <c r="L25" s="905">
        <v>5800</v>
      </c>
      <c r="M25" s="905"/>
      <c r="N25" s="906"/>
      <c r="O25" s="640">
        <f t="shared" si="14"/>
        <v>5800</v>
      </c>
    </row>
    <row r="26" spans="1:15" s="642" customFormat="1" ht="25.5" customHeight="1" x14ac:dyDescent="0.2">
      <c r="A26" s="639"/>
      <c r="B26" s="584" t="s">
        <v>299</v>
      </c>
      <c r="C26" s="910">
        <v>1417</v>
      </c>
      <c r="D26" s="910"/>
      <c r="E26" s="910">
        <f t="shared" si="13"/>
        <v>1417</v>
      </c>
      <c r="F26" s="1354"/>
      <c r="G26" s="910">
        <f t="shared" si="11"/>
        <v>1417</v>
      </c>
      <c r="H26" s="910"/>
      <c r="I26" s="910">
        <f t="shared" si="12"/>
        <v>1417</v>
      </c>
      <c r="J26" s="1543"/>
      <c r="K26" s="910">
        <f t="shared" si="12"/>
        <v>1417</v>
      </c>
      <c r="L26" s="905">
        <f t="shared" si="15"/>
        <v>1417</v>
      </c>
      <c r="M26" s="905"/>
      <c r="N26" s="906"/>
      <c r="O26" s="640">
        <f t="shared" si="14"/>
        <v>1417</v>
      </c>
    </row>
    <row r="27" spans="1:15" s="642" customFormat="1" ht="25.5" customHeight="1" x14ac:dyDescent="0.2">
      <c r="A27" s="639"/>
      <c r="B27" s="584" t="s">
        <v>300</v>
      </c>
      <c r="C27" s="910">
        <v>4900</v>
      </c>
      <c r="D27" s="910"/>
      <c r="E27" s="910">
        <v>6400</v>
      </c>
      <c r="F27" s="910"/>
      <c r="G27" s="910">
        <f t="shared" si="11"/>
        <v>6400</v>
      </c>
      <c r="H27" s="910"/>
      <c r="I27" s="910">
        <f t="shared" si="12"/>
        <v>6400</v>
      </c>
      <c r="J27" s="1543"/>
      <c r="K27" s="910">
        <f t="shared" si="12"/>
        <v>6400</v>
      </c>
      <c r="L27" s="905">
        <v>6400</v>
      </c>
      <c r="M27" s="905"/>
      <c r="N27" s="906"/>
      <c r="O27" s="640">
        <f t="shared" si="14"/>
        <v>6400</v>
      </c>
    </row>
    <row r="28" spans="1:15" s="641" customFormat="1" ht="25.5" customHeight="1" x14ac:dyDescent="0.2">
      <c r="A28" s="639"/>
      <c r="B28" s="584" t="s">
        <v>498</v>
      </c>
      <c r="C28" s="912">
        <v>16429</v>
      </c>
      <c r="D28" s="912"/>
      <c r="E28" s="910">
        <f t="shared" si="13"/>
        <v>16429</v>
      </c>
      <c r="F28" s="910"/>
      <c r="G28" s="910">
        <f t="shared" si="11"/>
        <v>16429</v>
      </c>
      <c r="H28" s="910"/>
      <c r="I28" s="910">
        <f t="shared" si="12"/>
        <v>16429</v>
      </c>
      <c r="J28" s="1543">
        <v>4447</v>
      </c>
      <c r="K28" s="910">
        <f t="shared" si="12"/>
        <v>20876</v>
      </c>
      <c r="L28" s="905">
        <v>20876</v>
      </c>
      <c r="M28" s="905"/>
      <c r="N28" s="906"/>
      <c r="O28" s="640">
        <f t="shared" si="14"/>
        <v>20876</v>
      </c>
    </row>
    <row r="29" spans="1:15" s="641" customFormat="1" ht="33.75" customHeight="1" x14ac:dyDescent="0.2">
      <c r="A29" s="639"/>
      <c r="B29" s="643" t="s">
        <v>499</v>
      </c>
      <c r="C29" s="912">
        <v>20848</v>
      </c>
      <c r="D29" s="912"/>
      <c r="E29" s="910">
        <v>24602</v>
      </c>
      <c r="F29" s="910"/>
      <c r="G29" s="910">
        <f t="shared" si="11"/>
        <v>24602</v>
      </c>
      <c r="H29" s="910"/>
      <c r="I29" s="910">
        <f t="shared" si="12"/>
        <v>24602</v>
      </c>
      <c r="J29" s="1543">
        <v>-3754</v>
      </c>
      <c r="K29" s="910">
        <f t="shared" si="12"/>
        <v>20848</v>
      </c>
      <c r="L29" s="910">
        <v>20848</v>
      </c>
      <c r="M29" s="905"/>
      <c r="N29" s="906"/>
      <c r="O29" s="640">
        <f t="shared" si="14"/>
        <v>20848</v>
      </c>
    </row>
    <row r="30" spans="1:15" s="641" customFormat="1" ht="25.5" customHeight="1" x14ac:dyDescent="0.2">
      <c r="A30" s="639"/>
      <c r="B30" s="643" t="s">
        <v>500</v>
      </c>
      <c r="C30" s="912">
        <v>4275</v>
      </c>
      <c r="D30" s="912"/>
      <c r="E30" s="910">
        <f t="shared" si="13"/>
        <v>4275</v>
      </c>
      <c r="F30" s="1432">
        <v>2162</v>
      </c>
      <c r="G30" s="910">
        <f t="shared" si="11"/>
        <v>6437</v>
      </c>
      <c r="H30" s="910"/>
      <c r="I30" s="910">
        <f t="shared" si="12"/>
        <v>6437</v>
      </c>
      <c r="J30" s="1543"/>
      <c r="K30" s="910">
        <f t="shared" si="12"/>
        <v>6437</v>
      </c>
      <c r="L30" s="905">
        <v>6437</v>
      </c>
      <c r="M30" s="905"/>
      <c r="N30" s="906"/>
      <c r="O30" s="640">
        <f t="shared" si="14"/>
        <v>6437</v>
      </c>
    </row>
    <row r="31" spans="1:15" s="641" customFormat="1" ht="25.5" customHeight="1" x14ac:dyDescent="0.2">
      <c r="A31" s="639"/>
      <c r="B31" s="584" t="s">
        <v>469</v>
      </c>
      <c r="C31" s="912">
        <f>52730+54751</f>
        <v>107481</v>
      </c>
      <c r="D31" s="912"/>
      <c r="E31" s="910">
        <f t="shared" si="13"/>
        <v>107481</v>
      </c>
      <c r="F31" s="1432">
        <v>-889</v>
      </c>
      <c r="G31" s="910">
        <f t="shared" si="11"/>
        <v>106592</v>
      </c>
      <c r="H31" s="910"/>
      <c r="I31" s="910">
        <f t="shared" si="12"/>
        <v>106592</v>
      </c>
      <c r="J31" s="1543">
        <v>751</v>
      </c>
      <c r="K31" s="910">
        <f t="shared" si="12"/>
        <v>107343</v>
      </c>
      <c r="L31" s="905">
        <v>107343</v>
      </c>
      <c r="M31" s="905"/>
      <c r="N31" s="906"/>
      <c r="O31" s="640">
        <f t="shared" si="14"/>
        <v>107343</v>
      </c>
    </row>
    <row r="32" spans="1:15" s="641" customFormat="1" ht="25.5" customHeight="1" x14ac:dyDescent="0.2">
      <c r="A32" s="639"/>
      <c r="B32" s="584" t="s">
        <v>895</v>
      </c>
      <c r="C32" s="912"/>
      <c r="D32" s="912">
        <v>6407</v>
      </c>
      <c r="E32" s="910">
        <v>11084</v>
      </c>
      <c r="F32" s="910">
        <v>2938</v>
      </c>
      <c r="G32" s="910">
        <f t="shared" si="11"/>
        <v>14022</v>
      </c>
      <c r="H32" s="910">
        <v>1469</v>
      </c>
      <c r="I32" s="910">
        <f t="shared" si="12"/>
        <v>15491</v>
      </c>
      <c r="J32" s="1543">
        <v>-15491</v>
      </c>
      <c r="K32" s="910">
        <f t="shared" si="12"/>
        <v>0</v>
      </c>
      <c r="L32" s="905">
        <v>0</v>
      </c>
      <c r="M32" s="905"/>
      <c r="N32" s="906"/>
      <c r="O32" s="640"/>
    </row>
    <row r="33" spans="1:15" s="636" customFormat="1" ht="37.5" customHeight="1" x14ac:dyDescent="0.2">
      <c r="A33" s="637" t="s">
        <v>431</v>
      </c>
      <c r="B33" s="644" t="s">
        <v>294</v>
      </c>
      <c r="C33" s="908">
        <f>SUM(C34:C35)</f>
        <v>43274</v>
      </c>
      <c r="D33" s="908">
        <f>SUM(D34:D35)</f>
        <v>0</v>
      </c>
      <c r="E33" s="908">
        <f t="shared" ref="E33:L33" si="16">SUM(E34:E38)</f>
        <v>46005</v>
      </c>
      <c r="F33" s="908">
        <f t="shared" si="16"/>
        <v>-2731</v>
      </c>
      <c r="G33" s="908">
        <f t="shared" si="16"/>
        <v>43274</v>
      </c>
      <c r="H33" s="908">
        <f t="shared" si="16"/>
        <v>0</v>
      </c>
      <c r="I33" s="908">
        <f t="shared" si="16"/>
        <v>43274</v>
      </c>
      <c r="J33" s="908">
        <f t="shared" si="16"/>
        <v>0</v>
      </c>
      <c r="K33" s="908">
        <f t="shared" si="16"/>
        <v>43274</v>
      </c>
      <c r="L33" s="908">
        <f t="shared" si="16"/>
        <v>43274</v>
      </c>
      <c r="M33" s="913"/>
      <c r="N33" s="909"/>
      <c r="O33" s="635">
        <f>SUM(L33:N33)</f>
        <v>43274</v>
      </c>
    </row>
    <row r="34" spans="1:15" s="641" customFormat="1" ht="35.25" customHeight="1" x14ac:dyDescent="0.2">
      <c r="A34" s="639"/>
      <c r="B34" s="584" t="s">
        <v>295</v>
      </c>
      <c r="C34" s="910">
        <v>27693</v>
      </c>
      <c r="D34" s="910"/>
      <c r="E34" s="910">
        <f>C34+D34</f>
        <v>27693</v>
      </c>
      <c r="F34" s="1354"/>
      <c r="G34" s="910">
        <f>E34+F34</f>
        <v>27693</v>
      </c>
      <c r="H34" s="910"/>
      <c r="I34" s="910">
        <f>G34+H34</f>
        <v>27693</v>
      </c>
      <c r="J34" s="910"/>
      <c r="K34" s="910">
        <f>I34+J34</f>
        <v>27693</v>
      </c>
      <c r="L34" s="910">
        <f>E34</f>
        <v>27693</v>
      </c>
      <c r="M34" s="905"/>
      <c r="N34" s="906"/>
      <c r="O34" s="640">
        <f>SUM(L34:N34)</f>
        <v>27693</v>
      </c>
    </row>
    <row r="35" spans="1:15" s="641" customFormat="1" ht="33" x14ac:dyDescent="0.2">
      <c r="A35" s="639"/>
      <c r="B35" s="584" t="s">
        <v>528</v>
      </c>
      <c r="C35" s="910">
        <v>15581</v>
      </c>
      <c r="D35" s="910"/>
      <c r="E35" s="910">
        <f>C35+D35</f>
        <v>15581</v>
      </c>
      <c r="F35" s="1354"/>
      <c r="G35" s="910">
        <f>E35+F35</f>
        <v>15581</v>
      </c>
      <c r="H35" s="910"/>
      <c r="I35" s="910">
        <f>G35+H35</f>
        <v>15581</v>
      </c>
      <c r="J35" s="910"/>
      <c r="K35" s="910">
        <f>I35+J35</f>
        <v>15581</v>
      </c>
      <c r="L35" s="910">
        <f>E35</f>
        <v>15581</v>
      </c>
      <c r="M35" s="905"/>
      <c r="N35" s="906"/>
      <c r="O35" s="640">
        <f>SUM(L35:N35)</f>
        <v>15581</v>
      </c>
    </row>
    <row r="36" spans="1:15" s="641" customFormat="1" ht="25.5" customHeight="1" x14ac:dyDescent="0.2">
      <c r="A36" s="639"/>
      <c r="B36" s="584" t="s">
        <v>896</v>
      </c>
      <c r="C36" s="910"/>
      <c r="D36" s="910"/>
      <c r="E36" s="910">
        <v>1500</v>
      </c>
      <c r="F36" s="910">
        <v>-1500</v>
      </c>
      <c r="G36" s="910">
        <v>0</v>
      </c>
      <c r="H36" s="910"/>
      <c r="I36" s="910">
        <f>G36+H36</f>
        <v>0</v>
      </c>
      <c r="J36" s="910"/>
      <c r="K36" s="910">
        <f>I36+J36</f>
        <v>0</v>
      </c>
      <c r="L36" s="910">
        <v>0</v>
      </c>
      <c r="M36" s="905"/>
      <c r="N36" s="906"/>
      <c r="O36" s="640"/>
    </row>
    <row r="37" spans="1:15" s="641" customFormat="1" ht="25.5" customHeight="1" x14ac:dyDescent="0.2">
      <c r="A37" s="639"/>
      <c r="B37" s="647" t="s">
        <v>900</v>
      </c>
      <c r="C37" s="910"/>
      <c r="D37" s="910"/>
      <c r="E37" s="910">
        <v>918</v>
      </c>
      <c r="F37" s="910">
        <v>-918</v>
      </c>
      <c r="G37" s="910">
        <v>0</v>
      </c>
      <c r="H37" s="910"/>
      <c r="I37" s="910">
        <f>G37+H37</f>
        <v>0</v>
      </c>
      <c r="J37" s="910"/>
      <c r="K37" s="910">
        <f>I37+J37</f>
        <v>0</v>
      </c>
      <c r="L37" s="907">
        <v>0</v>
      </c>
      <c r="M37" s="907"/>
      <c r="N37" s="906"/>
      <c r="O37" s="640"/>
    </row>
    <row r="38" spans="1:15" s="641" customFormat="1" ht="25.5" customHeight="1" x14ac:dyDescent="0.2">
      <c r="A38" s="639"/>
      <c r="B38" s="647" t="s">
        <v>901</v>
      </c>
      <c r="C38" s="910"/>
      <c r="D38" s="910"/>
      <c r="E38" s="910">
        <v>313</v>
      </c>
      <c r="F38" s="910">
        <v>-313</v>
      </c>
      <c r="G38" s="910">
        <v>0</v>
      </c>
      <c r="H38" s="910"/>
      <c r="I38" s="910">
        <f>G38+H38</f>
        <v>0</v>
      </c>
      <c r="J38" s="910"/>
      <c r="K38" s="910">
        <f>I38+J38</f>
        <v>0</v>
      </c>
      <c r="L38" s="907">
        <v>0</v>
      </c>
      <c r="M38" s="907"/>
      <c r="N38" s="906"/>
      <c r="O38" s="640"/>
    </row>
    <row r="39" spans="1:15" s="636" customFormat="1" ht="37.5" customHeight="1" x14ac:dyDescent="0.2">
      <c r="A39" s="637" t="s">
        <v>432</v>
      </c>
      <c r="B39" s="645" t="s">
        <v>433</v>
      </c>
      <c r="C39" s="908">
        <f>SUM(C40:C41)</f>
        <v>13859</v>
      </c>
      <c r="D39" s="908">
        <f>SUM(D40:D43)</f>
        <v>2558</v>
      </c>
      <c r="E39" s="908">
        <f>SUM(E40:E43)</f>
        <v>16417</v>
      </c>
      <c r="F39" s="1431">
        <f t="shared" ref="F39:L39" si="17">SUM(F40:F47)</f>
        <v>6206</v>
      </c>
      <c r="G39" s="908">
        <f t="shared" si="17"/>
        <v>22623</v>
      </c>
      <c r="H39" s="908">
        <f t="shared" si="17"/>
        <v>0</v>
      </c>
      <c r="I39" s="908">
        <f t="shared" si="17"/>
        <v>22623</v>
      </c>
      <c r="J39" s="908">
        <f t="shared" si="17"/>
        <v>1780</v>
      </c>
      <c r="K39" s="908">
        <f t="shared" si="17"/>
        <v>24403</v>
      </c>
      <c r="L39" s="908">
        <f t="shared" si="17"/>
        <v>24403</v>
      </c>
      <c r="M39" s="913"/>
      <c r="N39" s="909"/>
      <c r="O39" s="635">
        <f t="shared" ref="O39:O61" si="18">SUM(L39:N39)</f>
        <v>24403</v>
      </c>
    </row>
    <row r="40" spans="1:15" s="641" customFormat="1" ht="25.5" customHeight="1" x14ac:dyDescent="0.2">
      <c r="A40" s="639"/>
      <c r="B40" s="646" t="s">
        <v>537</v>
      </c>
      <c r="C40" s="910">
        <v>5600</v>
      </c>
      <c r="D40" s="910"/>
      <c r="E40" s="910">
        <f>C40+D40</f>
        <v>5600</v>
      </c>
      <c r="F40" s="1432"/>
      <c r="G40" s="910">
        <f>E40+F40</f>
        <v>5600</v>
      </c>
      <c r="H40" s="910"/>
      <c r="I40" s="910">
        <f t="shared" ref="I40:K47" si="19">G40+H40</f>
        <v>5600</v>
      </c>
      <c r="J40" s="910">
        <v>0</v>
      </c>
      <c r="K40" s="910">
        <f t="shared" si="19"/>
        <v>5600</v>
      </c>
      <c r="L40" s="910">
        <f>E40</f>
        <v>5600</v>
      </c>
      <c r="M40" s="905"/>
      <c r="N40" s="906"/>
      <c r="O40" s="640">
        <f t="shared" si="18"/>
        <v>5600</v>
      </c>
    </row>
    <row r="41" spans="1:15" s="641" customFormat="1" ht="25.5" customHeight="1" x14ac:dyDescent="0.2">
      <c r="A41" s="639"/>
      <c r="B41" s="646" t="s">
        <v>502</v>
      </c>
      <c r="C41" s="910">
        <v>8259</v>
      </c>
      <c r="D41" s="910"/>
      <c r="E41" s="910">
        <f>C41+D41</f>
        <v>8259</v>
      </c>
      <c r="F41" s="1432"/>
      <c r="G41" s="910">
        <f>E41+F41</f>
        <v>8259</v>
      </c>
      <c r="H41" s="910"/>
      <c r="I41" s="910">
        <f t="shared" si="19"/>
        <v>8259</v>
      </c>
      <c r="J41" s="910"/>
      <c r="K41" s="910">
        <f t="shared" si="19"/>
        <v>8259</v>
      </c>
      <c r="L41" s="910">
        <f>E41</f>
        <v>8259</v>
      </c>
      <c r="M41" s="905"/>
      <c r="N41" s="906"/>
      <c r="O41" s="640">
        <f t="shared" si="18"/>
        <v>8259</v>
      </c>
    </row>
    <row r="42" spans="1:15" s="641" customFormat="1" ht="25.5" customHeight="1" x14ac:dyDescent="0.2">
      <c r="A42" s="639"/>
      <c r="B42" s="1103" t="s">
        <v>945</v>
      </c>
      <c r="C42" s="910"/>
      <c r="D42" s="910">
        <v>1903</v>
      </c>
      <c r="E42" s="910">
        <v>1903</v>
      </c>
      <c r="F42" s="1432"/>
      <c r="G42" s="910">
        <f>E42+F42</f>
        <v>1903</v>
      </c>
      <c r="H42" s="910"/>
      <c r="I42" s="910">
        <f t="shared" si="19"/>
        <v>1903</v>
      </c>
      <c r="J42" s="910"/>
      <c r="K42" s="910">
        <f t="shared" si="19"/>
        <v>1903</v>
      </c>
      <c r="L42" s="910">
        <f>E42</f>
        <v>1903</v>
      </c>
      <c r="M42" s="907"/>
      <c r="N42" s="906"/>
      <c r="O42" s="640">
        <f t="shared" si="18"/>
        <v>1903</v>
      </c>
    </row>
    <row r="43" spans="1:15" s="641" customFormat="1" ht="25.5" customHeight="1" x14ac:dyDescent="0.2">
      <c r="A43" s="639"/>
      <c r="B43" s="1103" t="s">
        <v>965</v>
      </c>
      <c r="C43" s="910"/>
      <c r="D43" s="910">
        <v>655</v>
      </c>
      <c r="E43" s="910">
        <v>655</v>
      </c>
      <c r="F43" s="1432">
        <v>3475</v>
      </c>
      <c r="G43" s="910">
        <f>E43+F43</f>
        <v>4130</v>
      </c>
      <c r="H43" s="910"/>
      <c r="I43" s="910">
        <f t="shared" si="19"/>
        <v>4130</v>
      </c>
      <c r="J43" s="910"/>
      <c r="K43" s="910">
        <f t="shared" si="19"/>
        <v>4130</v>
      </c>
      <c r="L43" s="910">
        <v>4130</v>
      </c>
      <c r="M43" s="907"/>
      <c r="N43" s="906"/>
      <c r="O43" s="640">
        <f t="shared" si="18"/>
        <v>4130</v>
      </c>
    </row>
    <row r="44" spans="1:15" s="641" customFormat="1" ht="25.5" customHeight="1" x14ac:dyDescent="0.2">
      <c r="A44" s="639"/>
      <c r="B44" s="1103" t="s">
        <v>964</v>
      </c>
      <c r="C44" s="910"/>
      <c r="D44" s="910"/>
      <c r="E44" s="910"/>
      <c r="F44" s="1432"/>
      <c r="G44" s="910"/>
      <c r="H44" s="910"/>
      <c r="I44" s="910"/>
      <c r="J44" s="1543">
        <v>4511</v>
      </c>
      <c r="K44" s="910">
        <v>4511</v>
      </c>
      <c r="L44" s="910">
        <v>4511</v>
      </c>
      <c r="M44" s="907"/>
      <c r="N44" s="906"/>
      <c r="O44" s="640"/>
    </row>
    <row r="45" spans="1:15" s="641" customFormat="1" ht="25.5" customHeight="1" x14ac:dyDescent="0.2">
      <c r="A45" s="639"/>
      <c r="B45" s="584" t="s">
        <v>896</v>
      </c>
      <c r="C45" s="910"/>
      <c r="D45" s="910"/>
      <c r="E45" s="910">
        <v>0</v>
      </c>
      <c r="F45" s="910">
        <v>1500</v>
      </c>
      <c r="G45" s="910">
        <v>1500</v>
      </c>
      <c r="H45" s="910"/>
      <c r="I45" s="910">
        <f t="shared" si="19"/>
        <v>1500</v>
      </c>
      <c r="J45" s="1543">
        <v>-1500</v>
      </c>
      <c r="K45" s="910">
        <f t="shared" si="19"/>
        <v>0</v>
      </c>
      <c r="L45" s="910">
        <v>0</v>
      </c>
      <c r="M45" s="905"/>
      <c r="N45" s="906"/>
      <c r="O45" s="640"/>
    </row>
    <row r="46" spans="1:15" s="641" customFormat="1" ht="25.5" customHeight="1" x14ac:dyDescent="0.2">
      <c r="A46" s="639"/>
      <c r="B46" s="647" t="s">
        <v>900</v>
      </c>
      <c r="C46" s="910"/>
      <c r="D46" s="910"/>
      <c r="E46" s="910">
        <v>0</v>
      </c>
      <c r="F46" s="910">
        <v>918</v>
      </c>
      <c r="G46" s="910">
        <v>918</v>
      </c>
      <c r="H46" s="910"/>
      <c r="I46" s="910">
        <f t="shared" si="19"/>
        <v>918</v>
      </c>
      <c r="J46" s="1543">
        <v>-918</v>
      </c>
      <c r="K46" s="910">
        <f t="shared" si="19"/>
        <v>0</v>
      </c>
      <c r="L46" s="907">
        <v>0</v>
      </c>
      <c r="M46" s="907"/>
      <c r="N46" s="906"/>
      <c r="O46" s="640"/>
    </row>
    <row r="47" spans="1:15" s="641" customFormat="1" ht="25.5" customHeight="1" thickBot="1" x14ac:dyDescent="0.25">
      <c r="A47" s="659"/>
      <c r="B47" s="1472" t="s">
        <v>901</v>
      </c>
      <c r="C47" s="926"/>
      <c r="D47" s="926"/>
      <c r="E47" s="926">
        <v>0</v>
      </c>
      <c r="F47" s="926">
        <v>313</v>
      </c>
      <c r="G47" s="926">
        <v>313</v>
      </c>
      <c r="H47" s="926"/>
      <c r="I47" s="926">
        <f t="shared" si="19"/>
        <v>313</v>
      </c>
      <c r="J47" s="1549">
        <v>-313</v>
      </c>
      <c r="K47" s="926">
        <f t="shared" si="19"/>
        <v>0</v>
      </c>
      <c r="L47" s="1473">
        <v>0</v>
      </c>
      <c r="M47" s="1473"/>
      <c r="N47" s="928"/>
      <c r="O47" s="640"/>
    </row>
    <row r="48" spans="1:15" s="636" customFormat="1" ht="37.5" customHeight="1" x14ac:dyDescent="0.2">
      <c r="A48" s="652" t="s">
        <v>966</v>
      </c>
      <c r="B48" s="653" t="s">
        <v>967</v>
      </c>
      <c r="C48" s="921"/>
      <c r="D48" s="921">
        <f>SUM(D49:D53)</f>
        <v>531311</v>
      </c>
      <c r="E48" s="921">
        <f>SUM(E49:E53)</f>
        <v>161967</v>
      </c>
      <c r="F48" s="1446">
        <f>SUM(F49:F57)</f>
        <v>333106</v>
      </c>
      <c r="G48" s="921">
        <f>SUM(G49:G57)</f>
        <v>523816</v>
      </c>
      <c r="H48" s="921">
        <f>SUM(H49:H57)</f>
        <v>24025</v>
      </c>
      <c r="I48" s="921"/>
      <c r="J48" s="1550">
        <f>SUM(J49:J52)</f>
        <v>173518</v>
      </c>
      <c r="K48" s="921">
        <f t="shared" ref="K48:L48" si="20">SUM(K49:K52)</f>
        <v>173518</v>
      </c>
      <c r="L48" s="921">
        <f t="shared" si="20"/>
        <v>173518</v>
      </c>
      <c r="M48" s="1560"/>
      <c r="N48" s="922"/>
      <c r="O48" s="635">
        <f t="shared" ref="O48:O52" si="21">SUM(L48:N48)</f>
        <v>173518</v>
      </c>
    </row>
    <row r="49" spans="1:24" s="641" customFormat="1" ht="18.95" customHeight="1" x14ac:dyDescent="0.2">
      <c r="A49" s="639"/>
      <c r="B49" s="647" t="s">
        <v>968</v>
      </c>
      <c r="C49" s="904"/>
      <c r="D49" s="904">
        <v>461054</v>
      </c>
      <c r="E49" s="904">
        <v>0</v>
      </c>
      <c r="F49" s="904">
        <v>146848</v>
      </c>
      <c r="G49" s="904">
        <v>146848</v>
      </c>
      <c r="H49" s="904"/>
      <c r="I49" s="904"/>
      <c r="J49" s="1546">
        <v>146848</v>
      </c>
      <c r="K49" s="904">
        <f t="shared" ref="K49:K52" si="22">I49+J49</f>
        <v>146848</v>
      </c>
      <c r="L49" s="910">
        <v>146848</v>
      </c>
      <c r="M49" s="905"/>
      <c r="N49" s="906"/>
      <c r="O49" s="640">
        <f t="shared" si="21"/>
        <v>146848</v>
      </c>
    </row>
    <row r="50" spans="1:24" s="641" customFormat="1" ht="18.95" customHeight="1" x14ac:dyDescent="0.2">
      <c r="A50" s="639"/>
      <c r="B50" s="584" t="s">
        <v>895</v>
      </c>
      <c r="C50" s="912"/>
      <c r="D50" s="912">
        <v>6407</v>
      </c>
      <c r="E50" s="910">
        <v>11084</v>
      </c>
      <c r="F50" s="910">
        <v>2938</v>
      </c>
      <c r="G50" s="910">
        <f t="shared" ref="G50:G51" si="23">E50+F50</f>
        <v>14022</v>
      </c>
      <c r="H50" s="910">
        <v>1469</v>
      </c>
      <c r="I50" s="910"/>
      <c r="J50" s="1543">
        <f>15491+1445</f>
        <v>16936</v>
      </c>
      <c r="K50" s="904">
        <f t="shared" si="22"/>
        <v>16936</v>
      </c>
      <c r="L50" s="910">
        <v>16936</v>
      </c>
      <c r="M50" s="905"/>
      <c r="N50" s="906"/>
      <c r="O50" s="640">
        <f t="shared" si="21"/>
        <v>16936</v>
      </c>
    </row>
    <row r="51" spans="1:24" s="641" customFormat="1" ht="18.95" customHeight="1" x14ac:dyDescent="0.2">
      <c r="A51" s="639"/>
      <c r="B51" s="1104" t="s">
        <v>969</v>
      </c>
      <c r="C51" s="904"/>
      <c r="D51" s="904">
        <v>4088</v>
      </c>
      <c r="E51" s="904">
        <v>6296</v>
      </c>
      <c r="F51" s="904">
        <v>1749</v>
      </c>
      <c r="G51" s="910">
        <f t="shared" si="23"/>
        <v>8045</v>
      </c>
      <c r="H51" s="910"/>
      <c r="I51" s="910"/>
      <c r="J51" s="1543">
        <f>8045+522</f>
        <v>8567</v>
      </c>
      <c r="K51" s="910">
        <f t="shared" si="22"/>
        <v>8567</v>
      </c>
      <c r="L51" s="910">
        <v>8567</v>
      </c>
      <c r="M51" s="907"/>
      <c r="N51" s="906"/>
      <c r="O51" s="640">
        <f t="shared" si="21"/>
        <v>8567</v>
      </c>
    </row>
    <row r="52" spans="1:24" s="1434" customFormat="1" ht="18.95" customHeight="1" x14ac:dyDescent="0.2">
      <c r="A52" s="639"/>
      <c r="B52" s="1104" t="s">
        <v>970</v>
      </c>
      <c r="C52" s="904"/>
      <c r="D52" s="904"/>
      <c r="E52" s="904"/>
      <c r="F52" s="904">
        <v>1167</v>
      </c>
      <c r="G52" s="904">
        <v>1167</v>
      </c>
      <c r="H52" s="904"/>
      <c r="I52" s="904"/>
      <c r="J52" s="1546">
        <v>1167</v>
      </c>
      <c r="K52" s="910">
        <f t="shared" si="22"/>
        <v>1167</v>
      </c>
      <c r="L52" s="905">
        <v>1167</v>
      </c>
      <c r="M52" s="904"/>
      <c r="N52" s="906"/>
      <c r="O52" s="640">
        <f t="shared" si="21"/>
        <v>1167</v>
      </c>
      <c r="P52" s="668"/>
      <c r="Q52" s="668"/>
      <c r="R52" s="668"/>
      <c r="S52" s="668"/>
      <c r="T52" s="668"/>
      <c r="U52" s="668"/>
      <c r="V52" s="668"/>
      <c r="W52" s="668"/>
      <c r="X52" s="668"/>
    </row>
    <row r="53" spans="1:24" s="636" customFormat="1" ht="33" customHeight="1" x14ac:dyDescent="0.2">
      <c r="A53" s="637" t="s">
        <v>434</v>
      </c>
      <c r="B53" s="638" t="s">
        <v>435</v>
      </c>
      <c r="C53" s="908">
        <f>SUM(C54:C61)</f>
        <v>46368</v>
      </c>
      <c r="D53" s="908">
        <f>SUM(D54:D62)</f>
        <v>59762</v>
      </c>
      <c r="E53" s="908">
        <f>SUM(E54:E65)</f>
        <v>144587</v>
      </c>
      <c r="F53" s="908">
        <f t="shared" ref="F53:K53" si="24">SUM(F54:F68)</f>
        <v>173422</v>
      </c>
      <c r="G53" s="908">
        <f t="shared" si="24"/>
        <v>318009</v>
      </c>
      <c r="H53" s="908">
        <f t="shared" si="24"/>
        <v>15556</v>
      </c>
      <c r="I53" s="908">
        <f t="shared" si="24"/>
        <v>333565</v>
      </c>
      <c r="J53" s="1544">
        <f>SUM(J54:J68)</f>
        <v>-144648</v>
      </c>
      <c r="K53" s="908">
        <f t="shared" si="24"/>
        <v>188917</v>
      </c>
      <c r="L53" s="908">
        <f>SUM(L55:L68)</f>
        <v>106496</v>
      </c>
      <c r="M53" s="908">
        <f>SUM(M54:M65)</f>
        <v>82421</v>
      </c>
      <c r="N53" s="909"/>
      <c r="O53" s="635">
        <f t="shared" si="18"/>
        <v>188917</v>
      </c>
    </row>
    <row r="54" spans="1:24" s="641" customFormat="1" ht="18.95" customHeight="1" x14ac:dyDescent="0.2">
      <c r="A54" s="639"/>
      <c r="B54" s="647" t="s">
        <v>566</v>
      </c>
      <c r="C54" s="910">
        <v>8604</v>
      </c>
      <c r="D54" s="910"/>
      <c r="E54" s="910">
        <f t="shared" ref="E54:E61" si="25">C54+D54</f>
        <v>8604</v>
      </c>
      <c r="F54" s="1432">
        <v>1401</v>
      </c>
      <c r="G54" s="910">
        <f t="shared" ref="G54:G62" si="26">E54+F54</f>
        <v>10005</v>
      </c>
      <c r="H54" s="910"/>
      <c r="I54" s="910">
        <f t="shared" ref="I54:K68" si="27">G54+H54</f>
        <v>10005</v>
      </c>
      <c r="J54" s="1543"/>
      <c r="K54" s="910">
        <f t="shared" si="27"/>
        <v>10005</v>
      </c>
      <c r="L54" s="905"/>
      <c r="M54" s="910">
        <v>10005</v>
      </c>
      <c r="N54" s="906"/>
      <c r="O54" s="640">
        <f t="shared" si="18"/>
        <v>10005</v>
      </c>
    </row>
    <row r="55" spans="1:24" s="641" customFormat="1" ht="18.95" customHeight="1" x14ac:dyDescent="0.2">
      <c r="A55" s="639"/>
      <c r="B55" s="647" t="s">
        <v>565</v>
      </c>
      <c r="C55" s="910">
        <v>374</v>
      </c>
      <c r="D55" s="910"/>
      <c r="E55" s="910">
        <v>757</v>
      </c>
      <c r="F55" s="910">
        <v>757</v>
      </c>
      <c r="G55" s="910">
        <f t="shared" si="26"/>
        <v>1514</v>
      </c>
      <c r="H55" s="910"/>
      <c r="I55" s="910">
        <f t="shared" si="27"/>
        <v>1514</v>
      </c>
      <c r="J55" s="1543"/>
      <c r="K55" s="910">
        <f t="shared" si="27"/>
        <v>1514</v>
      </c>
      <c r="L55" s="905"/>
      <c r="M55" s="910">
        <v>1514</v>
      </c>
      <c r="N55" s="906"/>
      <c r="O55" s="640">
        <f t="shared" si="18"/>
        <v>1514</v>
      </c>
    </row>
    <row r="56" spans="1:24" s="641" customFormat="1" ht="36.950000000000003" customHeight="1" x14ac:dyDescent="0.2">
      <c r="A56" s="639"/>
      <c r="B56" s="646" t="s">
        <v>564</v>
      </c>
      <c r="C56" s="910">
        <v>786</v>
      </c>
      <c r="D56" s="910"/>
      <c r="E56" s="910">
        <v>17282</v>
      </c>
      <c r="F56" s="910">
        <v>4824</v>
      </c>
      <c r="G56" s="910">
        <f t="shared" si="26"/>
        <v>22106</v>
      </c>
      <c r="H56" s="910">
        <v>7000</v>
      </c>
      <c r="I56" s="910">
        <f t="shared" si="27"/>
        <v>29106</v>
      </c>
      <c r="J56" s="1543">
        <v>-689</v>
      </c>
      <c r="K56" s="910">
        <f t="shared" si="27"/>
        <v>28417</v>
      </c>
      <c r="L56" s="905"/>
      <c r="M56" s="910">
        <v>28417</v>
      </c>
      <c r="N56" s="906"/>
      <c r="O56" s="640">
        <f t="shared" si="18"/>
        <v>28417</v>
      </c>
    </row>
    <row r="57" spans="1:24" s="641" customFormat="1" ht="18.95" customHeight="1" x14ac:dyDescent="0.2">
      <c r="A57" s="639"/>
      <c r="B57" s="647" t="s">
        <v>563</v>
      </c>
      <c r="C57" s="910">
        <v>2100</v>
      </c>
      <c r="D57" s="910"/>
      <c r="E57" s="910">
        <f t="shared" si="25"/>
        <v>2100</v>
      </c>
      <c r="F57" s="910"/>
      <c r="G57" s="910">
        <f t="shared" si="26"/>
        <v>2100</v>
      </c>
      <c r="H57" s="910"/>
      <c r="I57" s="910">
        <f t="shared" si="27"/>
        <v>2100</v>
      </c>
      <c r="J57" s="1543">
        <v>742</v>
      </c>
      <c r="K57" s="910">
        <f t="shared" si="27"/>
        <v>2842</v>
      </c>
      <c r="L57" s="905"/>
      <c r="M57" s="910">
        <v>2842</v>
      </c>
      <c r="N57" s="906"/>
      <c r="O57" s="640">
        <f t="shared" si="18"/>
        <v>2842</v>
      </c>
    </row>
    <row r="58" spans="1:24" s="641" customFormat="1" ht="18.95" customHeight="1" x14ac:dyDescent="0.2">
      <c r="A58" s="639"/>
      <c r="B58" s="647" t="s">
        <v>562</v>
      </c>
      <c r="C58" s="910">
        <v>4879</v>
      </c>
      <c r="D58" s="910"/>
      <c r="E58" s="910">
        <v>7163</v>
      </c>
      <c r="F58" s="910">
        <v>2855</v>
      </c>
      <c r="G58" s="910">
        <f t="shared" si="26"/>
        <v>10018</v>
      </c>
      <c r="H58" s="910"/>
      <c r="I58" s="910">
        <f t="shared" si="27"/>
        <v>10018</v>
      </c>
      <c r="J58" s="1543"/>
      <c r="K58" s="910">
        <f t="shared" si="27"/>
        <v>10018</v>
      </c>
      <c r="L58" s="905"/>
      <c r="M58" s="910">
        <v>10018</v>
      </c>
      <c r="N58" s="906"/>
      <c r="O58" s="640">
        <f t="shared" si="18"/>
        <v>10018</v>
      </c>
    </row>
    <row r="59" spans="1:24" s="641" customFormat="1" ht="18.95" customHeight="1" x14ac:dyDescent="0.2">
      <c r="A59" s="639"/>
      <c r="B59" s="647" t="s">
        <v>561</v>
      </c>
      <c r="C59" s="910"/>
      <c r="D59" s="910"/>
      <c r="E59" s="910">
        <f t="shared" si="25"/>
        <v>0</v>
      </c>
      <c r="F59" s="1354"/>
      <c r="G59" s="910">
        <f t="shared" si="26"/>
        <v>0</v>
      </c>
      <c r="H59" s="910"/>
      <c r="I59" s="910">
        <f t="shared" si="27"/>
        <v>0</v>
      </c>
      <c r="J59" s="1543"/>
      <c r="K59" s="910">
        <f t="shared" si="27"/>
        <v>0</v>
      </c>
      <c r="L59" s="905"/>
      <c r="M59" s="910"/>
      <c r="N59" s="906"/>
      <c r="O59" s="640">
        <f t="shared" si="18"/>
        <v>0</v>
      </c>
    </row>
    <row r="60" spans="1:24" s="641" customFormat="1" ht="18.95" customHeight="1" x14ac:dyDescent="0.2">
      <c r="A60" s="639"/>
      <c r="B60" s="647" t="s">
        <v>581</v>
      </c>
      <c r="C60" s="910"/>
      <c r="D60" s="910">
        <v>55674</v>
      </c>
      <c r="E60" s="910">
        <v>70410</v>
      </c>
      <c r="F60" s="910">
        <v>4250</v>
      </c>
      <c r="G60" s="910">
        <f t="shared" si="26"/>
        <v>74660</v>
      </c>
      <c r="H60" s="910">
        <v>1173</v>
      </c>
      <c r="I60" s="910">
        <f t="shared" si="27"/>
        <v>75833</v>
      </c>
      <c r="J60" s="1543">
        <v>10458</v>
      </c>
      <c r="K60" s="910">
        <f t="shared" si="27"/>
        <v>86291</v>
      </c>
      <c r="L60" s="905">
        <v>86291</v>
      </c>
      <c r="M60" s="910"/>
      <c r="N60" s="906"/>
      <c r="O60" s="640">
        <f t="shared" si="18"/>
        <v>86291</v>
      </c>
    </row>
    <row r="61" spans="1:24" s="641" customFormat="1" ht="36.950000000000003" customHeight="1" x14ac:dyDescent="0.2">
      <c r="A61" s="639"/>
      <c r="B61" s="1104" t="s">
        <v>828</v>
      </c>
      <c r="C61" s="904">
        <f>'11'!E42</f>
        <v>29625</v>
      </c>
      <c r="D61" s="904"/>
      <c r="E61" s="904">
        <f t="shared" si="25"/>
        <v>29625</v>
      </c>
      <c r="F61" s="1357"/>
      <c r="G61" s="910">
        <f t="shared" si="26"/>
        <v>29625</v>
      </c>
      <c r="H61" s="910"/>
      <c r="I61" s="910">
        <f t="shared" si="27"/>
        <v>29625</v>
      </c>
      <c r="J61" s="1543"/>
      <c r="K61" s="910">
        <f t="shared" si="27"/>
        <v>29625</v>
      </c>
      <c r="L61" s="905">
        <v>0</v>
      </c>
      <c r="M61" s="904">
        <f>E61</f>
        <v>29625</v>
      </c>
      <c r="N61" s="906"/>
      <c r="O61" s="640">
        <f t="shared" si="18"/>
        <v>29625</v>
      </c>
    </row>
    <row r="62" spans="1:24" s="641" customFormat="1" ht="18.95" customHeight="1" x14ac:dyDescent="0.2">
      <c r="A62" s="639"/>
      <c r="B62" s="1104" t="s">
        <v>902</v>
      </c>
      <c r="C62" s="904"/>
      <c r="D62" s="904">
        <v>4088</v>
      </c>
      <c r="E62" s="904">
        <v>6296</v>
      </c>
      <c r="F62" s="904">
        <v>1749</v>
      </c>
      <c r="G62" s="910">
        <f t="shared" si="26"/>
        <v>8045</v>
      </c>
      <c r="H62" s="910"/>
      <c r="I62" s="910">
        <f t="shared" si="27"/>
        <v>8045</v>
      </c>
      <c r="J62" s="1543">
        <v>-8045</v>
      </c>
      <c r="K62" s="910">
        <f t="shared" si="27"/>
        <v>0</v>
      </c>
      <c r="L62" s="905">
        <v>0</v>
      </c>
      <c r="M62" s="904"/>
      <c r="N62" s="906"/>
      <c r="O62" s="640"/>
    </row>
    <row r="63" spans="1:24" s="641" customFormat="1" ht="18.95" customHeight="1" x14ac:dyDescent="0.2">
      <c r="A63" s="639"/>
      <c r="B63" s="1104" t="s">
        <v>903</v>
      </c>
      <c r="C63" s="904"/>
      <c r="D63" s="904"/>
      <c r="E63" s="904">
        <v>100</v>
      </c>
      <c r="F63" s="904">
        <v>60</v>
      </c>
      <c r="G63" s="904">
        <v>160</v>
      </c>
      <c r="H63" s="904"/>
      <c r="I63" s="904">
        <f t="shared" si="27"/>
        <v>160</v>
      </c>
      <c r="J63" s="1546">
        <v>24</v>
      </c>
      <c r="K63" s="910">
        <f t="shared" si="27"/>
        <v>184</v>
      </c>
      <c r="L63" s="905">
        <v>184</v>
      </c>
      <c r="M63" s="904"/>
      <c r="N63" s="906"/>
      <c r="O63" s="640"/>
    </row>
    <row r="64" spans="1:24" s="641" customFormat="1" ht="18.95" customHeight="1" x14ac:dyDescent="0.2">
      <c r="A64" s="639"/>
      <c r="B64" s="1104" t="s">
        <v>904</v>
      </c>
      <c r="C64" s="904"/>
      <c r="D64" s="904"/>
      <c r="E64" s="904">
        <v>1500</v>
      </c>
      <c r="F64" s="904">
        <v>1478</v>
      </c>
      <c r="G64" s="904">
        <f>E64+F64</f>
        <v>2978</v>
      </c>
      <c r="H64" s="904"/>
      <c r="I64" s="904">
        <f t="shared" si="27"/>
        <v>2978</v>
      </c>
      <c r="J64" s="1546">
        <v>877</v>
      </c>
      <c r="K64" s="910">
        <f t="shared" si="27"/>
        <v>3855</v>
      </c>
      <c r="L64" s="905">
        <v>3855</v>
      </c>
      <c r="M64" s="904">
        <v>0</v>
      </c>
      <c r="N64" s="906"/>
      <c r="O64" s="640"/>
    </row>
    <row r="65" spans="1:24" s="641" customFormat="1" ht="18.95" customHeight="1" x14ac:dyDescent="0.2">
      <c r="A65" s="648"/>
      <c r="B65" s="1433" t="s">
        <v>905</v>
      </c>
      <c r="C65" s="1387"/>
      <c r="D65" s="1387"/>
      <c r="E65" s="1387">
        <v>750</v>
      </c>
      <c r="F65" s="1387"/>
      <c r="G65" s="1387">
        <v>750</v>
      </c>
      <c r="H65" s="1387"/>
      <c r="I65" s="1387">
        <f t="shared" si="27"/>
        <v>750</v>
      </c>
      <c r="J65" s="1547"/>
      <c r="K65" s="910">
        <f t="shared" si="27"/>
        <v>750</v>
      </c>
      <c r="L65" s="915">
        <v>750</v>
      </c>
      <c r="M65" s="1387"/>
      <c r="N65" s="916"/>
      <c r="O65" s="640"/>
    </row>
    <row r="66" spans="1:24" s="1434" customFormat="1" ht="18.95" customHeight="1" x14ac:dyDescent="0.2">
      <c r="A66" s="639"/>
      <c r="B66" s="1104" t="s">
        <v>937</v>
      </c>
      <c r="C66" s="904"/>
      <c r="D66" s="904"/>
      <c r="E66" s="904"/>
      <c r="F66" s="904">
        <v>1167</v>
      </c>
      <c r="G66" s="904">
        <v>1167</v>
      </c>
      <c r="H66" s="904"/>
      <c r="I66" s="904">
        <f t="shared" si="27"/>
        <v>1167</v>
      </c>
      <c r="J66" s="1546">
        <v>-1167</v>
      </c>
      <c r="K66" s="910">
        <f t="shared" si="27"/>
        <v>0</v>
      </c>
      <c r="L66" s="905">
        <v>0</v>
      </c>
      <c r="M66" s="904"/>
      <c r="N66" s="906"/>
      <c r="O66" s="1435"/>
      <c r="P66" s="668"/>
      <c r="Q66" s="668"/>
      <c r="R66" s="668"/>
      <c r="S66" s="668"/>
      <c r="T66" s="668"/>
      <c r="U66" s="668"/>
      <c r="V66" s="668"/>
      <c r="W66" s="668"/>
      <c r="X66" s="668"/>
    </row>
    <row r="67" spans="1:24" s="668" customFormat="1" ht="18.95" customHeight="1" x14ac:dyDescent="0.2">
      <c r="A67" s="1470"/>
      <c r="B67" s="1436" t="s">
        <v>939</v>
      </c>
      <c r="C67" s="1437"/>
      <c r="D67" s="1437"/>
      <c r="E67" s="1437"/>
      <c r="F67" s="1437">
        <v>8033</v>
      </c>
      <c r="G67" s="1437">
        <v>8033</v>
      </c>
      <c r="H67" s="1437">
        <v>7383</v>
      </c>
      <c r="I67" s="1437">
        <f t="shared" si="27"/>
        <v>15416</v>
      </c>
      <c r="J67" s="1548"/>
      <c r="K67" s="910">
        <f t="shared" si="27"/>
        <v>15416</v>
      </c>
      <c r="L67" s="1438">
        <v>15416</v>
      </c>
      <c r="M67" s="1437"/>
      <c r="N67" s="1471"/>
      <c r="O67" s="1435"/>
    </row>
    <row r="68" spans="1:24" s="641" customFormat="1" ht="18.95" customHeight="1" thickBot="1" x14ac:dyDescent="0.25">
      <c r="A68" s="659"/>
      <c r="B68" s="1472" t="s">
        <v>855</v>
      </c>
      <c r="C68" s="926"/>
      <c r="D68" s="926">
        <v>461054</v>
      </c>
      <c r="E68" s="926">
        <v>0</v>
      </c>
      <c r="F68" s="926">
        <v>146848</v>
      </c>
      <c r="G68" s="926">
        <v>146848</v>
      </c>
      <c r="H68" s="926"/>
      <c r="I68" s="926">
        <f t="shared" si="27"/>
        <v>146848</v>
      </c>
      <c r="J68" s="1549">
        <v>-146848</v>
      </c>
      <c r="K68" s="914">
        <f t="shared" si="27"/>
        <v>0</v>
      </c>
      <c r="L68" s="1473">
        <v>0</v>
      </c>
      <c r="M68" s="1473"/>
      <c r="N68" s="928"/>
      <c r="O68" s="640"/>
    </row>
    <row r="69" spans="1:24" s="641" customFormat="1" ht="33" x14ac:dyDescent="0.2">
      <c r="A69" s="1448" t="s">
        <v>376</v>
      </c>
      <c r="B69" s="1455" t="s">
        <v>940</v>
      </c>
      <c r="C69" s="1449">
        <v>417106</v>
      </c>
      <c r="D69" s="1449"/>
      <c r="E69" s="1449">
        <v>982690</v>
      </c>
      <c r="F69" s="1449">
        <f t="shared" ref="F69:L69" si="28">F70+F78</f>
        <v>-146848</v>
      </c>
      <c r="G69" s="1449">
        <f t="shared" si="28"/>
        <v>835842</v>
      </c>
      <c r="H69" s="1449">
        <f t="shared" si="28"/>
        <v>0</v>
      </c>
      <c r="I69" s="1449">
        <f t="shared" si="28"/>
        <v>835842</v>
      </c>
      <c r="J69" s="1449">
        <f>J70+J78</f>
        <v>2731</v>
      </c>
      <c r="K69" s="1555">
        <f t="shared" si="28"/>
        <v>838573</v>
      </c>
      <c r="L69" s="1456">
        <f t="shared" si="28"/>
        <v>813365</v>
      </c>
      <c r="M69" s="1456">
        <f>M78</f>
        <v>25208</v>
      </c>
      <c r="N69" s="1454"/>
      <c r="O69" s="635">
        <f>SUM(L69:N69)</f>
        <v>838573</v>
      </c>
    </row>
    <row r="70" spans="1:24" s="636" customFormat="1" ht="37.5" customHeight="1" x14ac:dyDescent="0.2">
      <c r="A70" s="1450" t="s">
        <v>436</v>
      </c>
      <c r="B70" s="1451" t="s">
        <v>437</v>
      </c>
      <c r="C70" s="1452"/>
      <c r="D70" s="1452">
        <f>D71+D72</f>
        <v>461054</v>
      </c>
      <c r="E70" s="1452">
        <f>SUM(E71:E73)</f>
        <v>468954</v>
      </c>
      <c r="F70" s="1452">
        <f t="shared" ref="F70:I70" si="29">SUM(F71:F74)</f>
        <v>-145449</v>
      </c>
      <c r="G70" s="1452">
        <f t="shared" si="29"/>
        <v>323505</v>
      </c>
      <c r="H70" s="1452">
        <f t="shared" si="29"/>
        <v>27</v>
      </c>
      <c r="I70" s="1452">
        <f t="shared" si="29"/>
        <v>323532</v>
      </c>
      <c r="J70" s="1452">
        <f>SUM(J71:J77)</f>
        <v>2731</v>
      </c>
      <c r="K70" s="1452">
        <f>SUM(K71:K77)</f>
        <v>326263</v>
      </c>
      <c r="L70" s="1452">
        <f>SUM(L71:L77)</f>
        <v>326263</v>
      </c>
      <c r="M70" s="1452"/>
      <c r="N70" s="1453"/>
      <c r="O70" s="635">
        <f>SUM(L70:N70)</f>
        <v>326263</v>
      </c>
    </row>
    <row r="71" spans="1:24" s="641" customFormat="1" ht="18.95" customHeight="1" x14ac:dyDescent="0.2">
      <c r="A71" s="639"/>
      <c r="B71" s="647" t="s">
        <v>560</v>
      </c>
      <c r="C71" s="910">
        <v>0</v>
      </c>
      <c r="D71" s="910"/>
      <c r="E71" s="910">
        <f>C71+D71</f>
        <v>0</v>
      </c>
      <c r="F71" s="910"/>
      <c r="G71" s="910">
        <f>E71+F71</f>
        <v>0</v>
      </c>
      <c r="H71" s="910"/>
      <c r="I71" s="910">
        <f>G71+H71</f>
        <v>0</v>
      </c>
      <c r="J71" s="910"/>
      <c r="K71" s="910">
        <f>I71+J71</f>
        <v>0</v>
      </c>
      <c r="L71" s="905"/>
      <c r="M71" s="905"/>
      <c r="N71" s="906"/>
      <c r="O71" s="640">
        <f>SUM(L71:N71)</f>
        <v>0</v>
      </c>
    </row>
    <row r="72" spans="1:24" s="641" customFormat="1" ht="18.95" customHeight="1" x14ac:dyDescent="0.2">
      <c r="A72" s="639"/>
      <c r="B72" s="647" t="s">
        <v>855</v>
      </c>
      <c r="C72" s="910"/>
      <c r="D72" s="910">
        <v>461054</v>
      </c>
      <c r="E72" s="910">
        <v>461054</v>
      </c>
      <c r="F72" s="910">
        <v>-146848</v>
      </c>
      <c r="G72" s="910">
        <f>E72+F72</f>
        <v>314206</v>
      </c>
      <c r="H72" s="910"/>
      <c r="I72" s="910">
        <f>G72+H72</f>
        <v>314206</v>
      </c>
      <c r="J72" s="910"/>
      <c r="K72" s="910">
        <f>I72+J72</f>
        <v>314206</v>
      </c>
      <c r="L72" s="907">
        <v>314206</v>
      </c>
      <c r="M72" s="907"/>
      <c r="N72" s="906"/>
      <c r="O72" s="640"/>
    </row>
    <row r="73" spans="1:24" s="641" customFormat="1" ht="18.95" customHeight="1" x14ac:dyDescent="0.2">
      <c r="A73" s="639"/>
      <c r="B73" s="647" t="s">
        <v>897</v>
      </c>
      <c r="C73" s="910"/>
      <c r="D73" s="910"/>
      <c r="E73" s="910">
        <v>7900</v>
      </c>
      <c r="F73" s="910">
        <v>0</v>
      </c>
      <c r="G73" s="910">
        <v>7900</v>
      </c>
      <c r="H73" s="910"/>
      <c r="I73" s="910">
        <f>G73+H73</f>
        <v>7900</v>
      </c>
      <c r="J73" s="910"/>
      <c r="K73" s="910">
        <f>I73+J73</f>
        <v>7900</v>
      </c>
      <c r="L73" s="907">
        <v>7900</v>
      </c>
      <c r="M73" s="907"/>
      <c r="N73" s="906"/>
      <c r="O73" s="640"/>
    </row>
    <row r="74" spans="1:24" s="641" customFormat="1" ht="36.950000000000003" customHeight="1" x14ac:dyDescent="0.2">
      <c r="A74" s="1145"/>
      <c r="B74" s="575" t="s">
        <v>527</v>
      </c>
      <c r="C74" s="904">
        <v>0</v>
      </c>
      <c r="D74" s="904"/>
      <c r="E74" s="904">
        <v>0</v>
      </c>
      <c r="F74" s="904">
        <v>1399</v>
      </c>
      <c r="G74" s="910">
        <f>E74+F74</f>
        <v>1399</v>
      </c>
      <c r="H74" s="910">
        <v>27</v>
      </c>
      <c r="I74" s="910">
        <f>G74+H74</f>
        <v>1426</v>
      </c>
      <c r="J74" s="1543"/>
      <c r="K74" s="910">
        <f>I74+J74</f>
        <v>1426</v>
      </c>
      <c r="L74" s="910">
        <v>1426</v>
      </c>
      <c r="M74" s="905">
        <v>0</v>
      </c>
      <c r="N74" s="906"/>
      <c r="O74" s="640">
        <f>SUM(L74:N74)</f>
        <v>1426</v>
      </c>
    </row>
    <row r="75" spans="1:24" s="641" customFormat="1" ht="18.95" customHeight="1" x14ac:dyDescent="0.2">
      <c r="A75" s="639"/>
      <c r="B75" s="584" t="s">
        <v>896</v>
      </c>
      <c r="C75" s="910"/>
      <c r="D75" s="910"/>
      <c r="E75" s="910">
        <v>0</v>
      </c>
      <c r="F75" s="910">
        <v>1500</v>
      </c>
      <c r="G75" s="910">
        <v>1500</v>
      </c>
      <c r="H75" s="910"/>
      <c r="I75" s="910"/>
      <c r="J75" s="1543">
        <v>1500</v>
      </c>
      <c r="K75" s="910">
        <f t="shared" ref="K75:K77" si="30">I75+J75</f>
        <v>1500</v>
      </c>
      <c r="L75" s="910">
        <v>1500</v>
      </c>
      <c r="M75" s="905"/>
      <c r="N75" s="906"/>
      <c r="O75" s="640"/>
    </row>
    <row r="76" spans="1:24" s="641" customFormat="1" ht="18.95" customHeight="1" x14ac:dyDescent="0.2">
      <c r="A76" s="639"/>
      <c r="B76" s="647" t="s">
        <v>900</v>
      </c>
      <c r="C76" s="910"/>
      <c r="D76" s="910"/>
      <c r="E76" s="910">
        <v>0</v>
      </c>
      <c r="F76" s="910">
        <v>918</v>
      </c>
      <c r="G76" s="910">
        <v>918</v>
      </c>
      <c r="H76" s="910"/>
      <c r="I76" s="910"/>
      <c r="J76" s="1543">
        <v>918</v>
      </c>
      <c r="K76" s="910">
        <f t="shared" si="30"/>
        <v>918</v>
      </c>
      <c r="L76" s="907">
        <v>918</v>
      </c>
      <c r="M76" s="907"/>
      <c r="N76" s="906"/>
      <c r="O76" s="640"/>
    </row>
    <row r="77" spans="1:24" s="641" customFormat="1" ht="18.95" customHeight="1" x14ac:dyDescent="0.2">
      <c r="A77" s="639"/>
      <c r="B77" s="647" t="s">
        <v>901</v>
      </c>
      <c r="C77" s="910"/>
      <c r="D77" s="910"/>
      <c r="E77" s="910">
        <v>0</v>
      </c>
      <c r="F77" s="910">
        <v>313</v>
      </c>
      <c r="G77" s="910">
        <v>313</v>
      </c>
      <c r="H77" s="910"/>
      <c r="I77" s="910"/>
      <c r="J77" s="1543">
        <v>313</v>
      </c>
      <c r="K77" s="910">
        <f t="shared" si="30"/>
        <v>313</v>
      </c>
      <c r="L77" s="907">
        <v>313</v>
      </c>
      <c r="M77" s="907"/>
      <c r="N77" s="906"/>
      <c r="O77" s="640"/>
    </row>
    <row r="78" spans="1:24" s="636" customFormat="1" ht="33.75" customHeight="1" x14ac:dyDescent="0.2">
      <c r="A78" s="637" t="s">
        <v>438</v>
      </c>
      <c r="B78" s="638" t="s">
        <v>839</v>
      </c>
      <c r="C78" s="908">
        <f>SUM(C79:C81)</f>
        <v>417106</v>
      </c>
      <c r="D78" s="908">
        <f t="shared" ref="D78:L78" si="31">SUM(D79:D82)</f>
        <v>95231</v>
      </c>
      <c r="E78" s="908">
        <f t="shared" si="31"/>
        <v>513736</v>
      </c>
      <c r="F78" s="908">
        <f t="shared" si="31"/>
        <v>-1399</v>
      </c>
      <c r="G78" s="908">
        <f t="shared" si="31"/>
        <v>512337</v>
      </c>
      <c r="H78" s="908">
        <f t="shared" si="31"/>
        <v>-27</v>
      </c>
      <c r="I78" s="908">
        <f t="shared" si="31"/>
        <v>512310</v>
      </c>
      <c r="J78" s="1544">
        <f t="shared" si="31"/>
        <v>0</v>
      </c>
      <c r="K78" s="908">
        <f t="shared" si="31"/>
        <v>512310</v>
      </c>
      <c r="L78" s="908">
        <f t="shared" si="31"/>
        <v>487102</v>
      </c>
      <c r="M78" s="908">
        <f>SUM(M79:M81)</f>
        <v>25208</v>
      </c>
      <c r="N78" s="909"/>
      <c r="O78" s="635">
        <f>SUM(L78:N78)</f>
        <v>512310</v>
      </c>
    </row>
    <row r="79" spans="1:24" s="641" customFormat="1" ht="36.950000000000003" customHeight="1" x14ac:dyDescent="0.2">
      <c r="A79" s="639"/>
      <c r="B79" s="650" t="s">
        <v>525</v>
      </c>
      <c r="C79" s="910">
        <v>25208</v>
      </c>
      <c r="D79" s="910"/>
      <c r="E79" s="910">
        <f>C79+D79</f>
        <v>25208</v>
      </c>
      <c r="F79" s="910"/>
      <c r="G79" s="910">
        <f>E79+F79</f>
        <v>25208</v>
      </c>
      <c r="H79" s="910"/>
      <c r="I79" s="910">
        <f>G79+H79</f>
        <v>25208</v>
      </c>
      <c r="J79" s="910"/>
      <c r="K79" s="910">
        <f>I79+J79</f>
        <v>25208</v>
      </c>
      <c r="L79" s="910"/>
      <c r="M79" s="910">
        <v>25208</v>
      </c>
      <c r="N79" s="906"/>
      <c r="O79" s="640">
        <f>SUM(L79:N79)</f>
        <v>25208</v>
      </c>
    </row>
    <row r="80" spans="1:24" s="641" customFormat="1" ht="36.950000000000003" customHeight="1" x14ac:dyDescent="0.2">
      <c r="A80" s="639"/>
      <c r="B80" s="575" t="s">
        <v>0</v>
      </c>
      <c r="C80" s="910">
        <v>344045</v>
      </c>
      <c r="D80" s="910"/>
      <c r="E80" s="910">
        <f>C80+D80</f>
        <v>344045</v>
      </c>
      <c r="F80" s="910"/>
      <c r="G80" s="910">
        <f>E80+F80</f>
        <v>344045</v>
      </c>
      <c r="H80" s="910"/>
      <c r="I80" s="910">
        <f>G80+H80</f>
        <v>344045</v>
      </c>
      <c r="J80" s="910"/>
      <c r="K80" s="910">
        <f>I80+J80</f>
        <v>344045</v>
      </c>
      <c r="L80" s="910">
        <v>344045</v>
      </c>
      <c r="M80" s="910">
        <v>0</v>
      </c>
      <c r="N80" s="920" t="s">
        <v>99</v>
      </c>
      <c r="O80" s="640">
        <f>SUM(L80:N80)</f>
        <v>344045</v>
      </c>
    </row>
    <row r="81" spans="1:15" s="641" customFormat="1" ht="36.950000000000003" customHeight="1" x14ac:dyDescent="0.2">
      <c r="A81" s="1145"/>
      <c r="B81" s="575" t="s">
        <v>527</v>
      </c>
      <c r="C81" s="904">
        <v>47853</v>
      </c>
      <c r="D81" s="904"/>
      <c r="E81" s="904">
        <v>49252</v>
      </c>
      <c r="F81" s="904">
        <v>-1399</v>
      </c>
      <c r="G81" s="910">
        <f>E81+F81</f>
        <v>47853</v>
      </c>
      <c r="H81" s="910">
        <v>-27</v>
      </c>
      <c r="I81" s="910">
        <f>G81+H81</f>
        <v>47826</v>
      </c>
      <c r="J81" s="910"/>
      <c r="K81" s="910">
        <f>I81+J81</f>
        <v>47826</v>
      </c>
      <c r="L81" s="910">
        <v>47826</v>
      </c>
      <c r="M81" s="905">
        <v>0</v>
      </c>
      <c r="N81" s="906"/>
      <c r="O81" s="640">
        <f>SUM(L81:N81)</f>
        <v>47826</v>
      </c>
    </row>
    <row r="82" spans="1:15" s="641" customFormat="1" ht="18.95" customHeight="1" thickBot="1" x14ac:dyDescent="0.25">
      <c r="A82" s="1146"/>
      <c r="B82" s="1147" t="s">
        <v>848</v>
      </c>
      <c r="C82" s="1148"/>
      <c r="D82" s="1148">
        <v>95231</v>
      </c>
      <c r="E82" s="1148">
        <v>95231</v>
      </c>
      <c r="F82" s="1358"/>
      <c r="G82" s="910">
        <f>E82+F82</f>
        <v>95231</v>
      </c>
      <c r="H82" s="914"/>
      <c r="I82" s="914">
        <f>G82+H82</f>
        <v>95231</v>
      </c>
      <c r="J82" s="914"/>
      <c r="K82" s="914">
        <f>I82+J82</f>
        <v>95231</v>
      </c>
      <c r="L82" s="1148">
        <v>95231</v>
      </c>
      <c r="M82" s="927"/>
      <c r="N82" s="928"/>
      <c r="O82" s="640"/>
    </row>
    <row r="83" spans="1:15" s="636" customFormat="1" ht="31.5" customHeight="1" thickBot="1" x14ac:dyDescent="0.25">
      <c r="A83" s="631" t="s">
        <v>377</v>
      </c>
      <c r="B83" s="651" t="s">
        <v>388</v>
      </c>
      <c r="C83" s="917">
        <f t="shared" ref="C83:M83" si="32">C84+C87+C91</f>
        <v>866100</v>
      </c>
      <c r="D83" s="917">
        <f t="shared" si="32"/>
        <v>0</v>
      </c>
      <c r="E83" s="917">
        <f t="shared" si="32"/>
        <v>866100</v>
      </c>
      <c r="F83" s="1445">
        <f t="shared" si="32"/>
        <v>32000</v>
      </c>
      <c r="G83" s="917">
        <f t="shared" si="32"/>
        <v>898100</v>
      </c>
      <c r="H83" s="917">
        <f>H84+H87+H91</f>
        <v>5500</v>
      </c>
      <c r="I83" s="917">
        <f>I84+I87+I91</f>
        <v>903600</v>
      </c>
      <c r="J83" s="917">
        <f>J84+J87+J91</f>
        <v>258947</v>
      </c>
      <c r="K83" s="917">
        <f>K84+K87+K91</f>
        <v>1162547</v>
      </c>
      <c r="L83" s="917">
        <f t="shared" si="32"/>
        <v>81798</v>
      </c>
      <c r="M83" s="917">
        <f t="shared" si="32"/>
        <v>1080749</v>
      </c>
      <c r="N83" s="918"/>
      <c r="O83" s="635">
        <f t="shared" ref="O83:O99" si="33">SUM(L83:N83)</f>
        <v>1162547</v>
      </c>
    </row>
    <row r="84" spans="1:15" s="636" customFormat="1" ht="37.5" customHeight="1" x14ac:dyDescent="0.2">
      <c r="A84" s="652" t="s">
        <v>411</v>
      </c>
      <c r="B84" s="653" t="s">
        <v>412</v>
      </c>
      <c r="C84" s="921">
        <f t="shared" ref="C84:M84" si="34">SUM(C85:C86)</f>
        <v>231000</v>
      </c>
      <c r="D84" s="921">
        <f t="shared" si="34"/>
        <v>0</v>
      </c>
      <c r="E84" s="921">
        <f t="shared" si="34"/>
        <v>231000</v>
      </c>
      <c r="F84" s="1446">
        <f t="shared" si="34"/>
        <v>0</v>
      </c>
      <c r="G84" s="921">
        <f t="shared" si="34"/>
        <v>231000</v>
      </c>
      <c r="H84" s="921">
        <f>SUM(H85:H86)</f>
        <v>0</v>
      </c>
      <c r="I84" s="921">
        <f>SUM(I85:I86)</f>
        <v>231000</v>
      </c>
      <c r="J84" s="1550">
        <f>SUM(J85:J86)</f>
        <v>22193</v>
      </c>
      <c r="K84" s="921">
        <f>SUM(K85:K86)</f>
        <v>253193</v>
      </c>
      <c r="L84" s="921">
        <f t="shared" si="34"/>
        <v>0</v>
      </c>
      <c r="M84" s="921">
        <f t="shared" si="34"/>
        <v>253193</v>
      </c>
      <c r="N84" s="922"/>
      <c r="O84" s="635">
        <f t="shared" si="33"/>
        <v>253193</v>
      </c>
    </row>
    <row r="85" spans="1:15" s="657" customFormat="1" ht="18.95" customHeight="1" x14ac:dyDescent="0.2">
      <c r="A85" s="654"/>
      <c r="B85" s="655" t="s">
        <v>119</v>
      </c>
      <c r="C85" s="923">
        <v>205000</v>
      </c>
      <c r="D85" s="923"/>
      <c r="E85" s="923">
        <f>C85+D85</f>
        <v>205000</v>
      </c>
      <c r="F85" s="1447"/>
      <c r="G85" s="923">
        <f>E85+F85</f>
        <v>205000</v>
      </c>
      <c r="H85" s="923"/>
      <c r="I85" s="923">
        <f>G85+H85</f>
        <v>205000</v>
      </c>
      <c r="J85" s="1545">
        <f>4565+13843</f>
        <v>18408</v>
      </c>
      <c r="K85" s="923">
        <f>I85+J85</f>
        <v>223408</v>
      </c>
      <c r="L85" s="924"/>
      <c r="M85" s="923">
        <v>223408</v>
      </c>
      <c r="N85" s="925"/>
      <c r="O85" s="656">
        <f t="shared" si="33"/>
        <v>223408</v>
      </c>
    </row>
    <row r="86" spans="1:15" s="657" customFormat="1" ht="18.95" customHeight="1" x14ac:dyDescent="0.2">
      <c r="A86" s="654"/>
      <c r="B86" s="655" t="s">
        <v>120</v>
      </c>
      <c r="C86" s="923">
        <v>26000</v>
      </c>
      <c r="D86" s="923"/>
      <c r="E86" s="923">
        <f>C86+D86</f>
        <v>26000</v>
      </c>
      <c r="F86" s="1447"/>
      <c r="G86" s="923">
        <f>E86+F86</f>
        <v>26000</v>
      </c>
      <c r="H86" s="923"/>
      <c r="I86" s="923">
        <f>G86+H86</f>
        <v>26000</v>
      </c>
      <c r="J86" s="1545">
        <f>560+3225</f>
        <v>3785</v>
      </c>
      <c r="K86" s="923">
        <f>I86+J86</f>
        <v>29785</v>
      </c>
      <c r="L86" s="924"/>
      <c r="M86" s="923">
        <v>29785</v>
      </c>
      <c r="N86" s="925"/>
      <c r="O86" s="656">
        <f t="shared" si="33"/>
        <v>29785</v>
      </c>
    </row>
    <row r="87" spans="1:15" s="636" customFormat="1" ht="37.5" customHeight="1" x14ac:dyDescent="0.2">
      <c r="A87" s="637" t="s">
        <v>421</v>
      </c>
      <c r="B87" s="658" t="s">
        <v>422</v>
      </c>
      <c r="C87" s="908">
        <f t="shared" ref="C87:M87" si="35">SUM(C88:C90)</f>
        <v>626100</v>
      </c>
      <c r="D87" s="908">
        <f t="shared" si="35"/>
        <v>0</v>
      </c>
      <c r="E87" s="908">
        <f t="shared" si="35"/>
        <v>626100</v>
      </c>
      <c r="F87" s="1431">
        <f t="shared" si="35"/>
        <v>30000</v>
      </c>
      <c r="G87" s="908">
        <f t="shared" si="35"/>
        <v>656100</v>
      </c>
      <c r="H87" s="908">
        <f>SUM(H88:H90)</f>
        <v>4000</v>
      </c>
      <c r="I87" s="908">
        <f>SUM(I88:I90)</f>
        <v>660100</v>
      </c>
      <c r="J87" s="1544">
        <f>SUM(J88:J90)</f>
        <v>216495</v>
      </c>
      <c r="K87" s="908">
        <f>SUM(K88:K90)</f>
        <v>876595</v>
      </c>
      <c r="L87" s="908">
        <f t="shared" si="35"/>
        <v>76866</v>
      </c>
      <c r="M87" s="908">
        <f t="shared" si="35"/>
        <v>799729</v>
      </c>
      <c r="N87" s="909"/>
      <c r="O87" s="635">
        <f t="shared" si="33"/>
        <v>876595</v>
      </c>
    </row>
    <row r="88" spans="1:15" s="641" customFormat="1" ht="18.95" customHeight="1" x14ac:dyDescent="0.2">
      <c r="A88" s="639" t="s">
        <v>420</v>
      </c>
      <c r="B88" s="553" t="s">
        <v>121</v>
      </c>
      <c r="C88" s="910">
        <v>570000</v>
      </c>
      <c r="D88" s="910"/>
      <c r="E88" s="910">
        <f>C88+D88</f>
        <v>570000</v>
      </c>
      <c r="F88" s="1432">
        <v>30000</v>
      </c>
      <c r="G88" s="910">
        <f>E88+F88</f>
        <v>600000</v>
      </c>
      <c r="H88" s="910">
        <v>4000</v>
      </c>
      <c r="I88" s="910">
        <f>G88+H88</f>
        <v>604000</v>
      </c>
      <c r="J88" s="1543">
        <f>117000+78729</f>
        <v>195729</v>
      </c>
      <c r="K88" s="910">
        <f>I88+J88</f>
        <v>799729</v>
      </c>
      <c r="L88" s="905"/>
      <c r="M88" s="910">
        <v>799729</v>
      </c>
      <c r="N88" s="906"/>
      <c r="O88" s="640">
        <f t="shared" si="33"/>
        <v>799729</v>
      </c>
    </row>
    <row r="89" spans="1:15" s="641" customFormat="1" ht="18.95" customHeight="1" x14ac:dyDescent="0.2">
      <c r="A89" s="639" t="s">
        <v>416</v>
      </c>
      <c r="B89" s="553" t="s">
        <v>419</v>
      </c>
      <c r="C89" s="910">
        <v>56000</v>
      </c>
      <c r="D89" s="910"/>
      <c r="E89" s="910">
        <f>C89+D89</f>
        <v>56000</v>
      </c>
      <c r="F89" s="1354"/>
      <c r="G89" s="910">
        <f>E89+F89</f>
        <v>56000</v>
      </c>
      <c r="H89" s="910"/>
      <c r="I89" s="910">
        <f>G89+H89</f>
        <v>56000</v>
      </c>
      <c r="J89" s="1543">
        <f>-2500+23266</f>
        <v>20766</v>
      </c>
      <c r="K89" s="910">
        <f>I89+J89</f>
        <v>76766</v>
      </c>
      <c r="L89" s="910">
        <v>76766</v>
      </c>
      <c r="M89" s="905"/>
      <c r="N89" s="906"/>
      <c r="O89" s="640">
        <f t="shared" si="33"/>
        <v>76766</v>
      </c>
    </row>
    <row r="90" spans="1:15" s="641" customFormat="1" ht="18.95" customHeight="1" x14ac:dyDescent="0.2">
      <c r="A90" s="639" t="s">
        <v>417</v>
      </c>
      <c r="B90" s="553" t="s">
        <v>418</v>
      </c>
      <c r="C90" s="910">
        <v>100</v>
      </c>
      <c r="D90" s="910"/>
      <c r="E90" s="910">
        <f>C90+D90</f>
        <v>100</v>
      </c>
      <c r="F90" s="1354"/>
      <c r="G90" s="910">
        <f>E90+F90</f>
        <v>100</v>
      </c>
      <c r="H90" s="910"/>
      <c r="I90" s="910">
        <f>G90+H90</f>
        <v>100</v>
      </c>
      <c r="J90" s="1543"/>
      <c r="K90" s="910">
        <f>I90+J90</f>
        <v>100</v>
      </c>
      <c r="L90" s="910">
        <v>100</v>
      </c>
      <c r="M90" s="905"/>
      <c r="N90" s="906"/>
      <c r="O90" s="640">
        <f t="shared" si="33"/>
        <v>100</v>
      </c>
    </row>
    <row r="91" spans="1:15" s="636" customFormat="1" ht="37.5" customHeight="1" x14ac:dyDescent="0.2">
      <c r="A91" s="637" t="s">
        <v>413</v>
      </c>
      <c r="B91" s="645" t="s">
        <v>414</v>
      </c>
      <c r="C91" s="908">
        <f t="shared" ref="C91:M91" si="36">SUM(C92:C95)</f>
        <v>9000</v>
      </c>
      <c r="D91" s="908">
        <f t="shared" si="36"/>
        <v>0</v>
      </c>
      <c r="E91" s="908">
        <f t="shared" si="36"/>
        <v>9000</v>
      </c>
      <c r="F91" s="1431">
        <f t="shared" si="36"/>
        <v>2000</v>
      </c>
      <c r="G91" s="908">
        <f t="shared" si="36"/>
        <v>11000</v>
      </c>
      <c r="H91" s="908">
        <f>SUM(H92:H96)</f>
        <v>1500</v>
      </c>
      <c r="I91" s="908">
        <f>SUM(I92:I96)</f>
        <v>12500</v>
      </c>
      <c r="J91" s="1544">
        <f>SUM(J92:J96)</f>
        <v>20259</v>
      </c>
      <c r="K91" s="908">
        <f>SUM(K92:K96)</f>
        <v>32759</v>
      </c>
      <c r="L91" s="908">
        <f>SUM(L92:L96)</f>
        <v>4932</v>
      </c>
      <c r="M91" s="908">
        <f t="shared" si="36"/>
        <v>27827</v>
      </c>
      <c r="N91" s="909"/>
      <c r="O91" s="635">
        <f t="shared" si="33"/>
        <v>32759</v>
      </c>
    </row>
    <row r="92" spans="1:15" s="641" customFormat="1" ht="18.95" customHeight="1" x14ac:dyDescent="0.2">
      <c r="A92" s="639"/>
      <c r="B92" s="647" t="s">
        <v>837</v>
      </c>
      <c r="C92" s="910">
        <v>800</v>
      </c>
      <c r="D92" s="910"/>
      <c r="E92" s="910">
        <f>C92+D92</f>
        <v>800</v>
      </c>
      <c r="F92" s="1432"/>
      <c r="G92" s="910">
        <f>E92+F92</f>
        <v>800</v>
      </c>
      <c r="H92" s="910"/>
      <c r="I92" s="910">
        <f>G92+H92</f>
        <v>800</v>
      </c>
      <c r="J92" s="1543"/>
      <c r="K92" s="910">
        <f>I92+J92</f>
        <v>800</v>
      </c>
      <c r="L92" s="910">
        <v>800</v>
      </c>
      <c r="M92" s="905"/>
      <c r="N92" s="906"/>
      <c r="O92" s="640">
        <f t="shared" si="33"/>
        <v>800</v>
      </c>
    </row>
    <row r="93" spans="1:15" s="641" customFormat="1" ht="18.95" customHeight="1" x14ac:dyDescent="0.2">
      <c r="A93" s="639"/>
      <c r="B93" s="647" t="s">
        <v>836</v>
      </c>
      <c r="C93" s="910">
        <v>100</v>
      </c>
      <c r="D93" s="910"/>
      <c r="E93" s="910">
        <f>C93+D93</f>
        <v>100</v>
      </c>
      <c r="F93" s="1432"/>
      <c r="G93" s="910">
        <f>E93+F93</f>
        <v>100</v>
      </c>
      <c r="H93" s="910"/>
      <c r="I93" s="910">
        <f>G93+H93</f>
        <v>100</v>
      </c>
      <c r="J93" s="1543"/>
      <c r="K93" s="910">
        <f>I93+J93</f>
        <v>100</v>
      </c>
      <c r="L93" s="910">
        <v>100</v>
      </c>
      <c r="M93" s="905"/>
      <c r="N93" s="906"/>
      <c r="O93" s="640">
        <f t="shared" si="33"/>
        <v>100</v>
      </c>
    </row>
    <row r="94" spans="1:15" s="641" customFormat="1" ht="18.95" customHeight="1" x14ac:dyDescent="0.2">
      <c r="A94" s="639"/>
      <c r="B94" s="553" t="s">
        <v>415</v>
      </c>
      <c r="C94" s="910">
        <v>100</v>
      </c>
      <c r="D94" s="910"/>
      <c r="E94" s="910">
        <f>C94+D94</f>
        <v>100</v>
      </c>
      <c r="F94" s="1432"/>
      <c r="G94" s="910">
        <f>E94+F94</f>
        <v>100</v>
      </c>
      <c r="H94" s="910"/>
      <c r="I94" s="910">
        <f>G94+H94</f>
        <v>100</v>
      </c>
      <c r="J94" s="1543"/>
      <c r="K94" s="910">
        <f>I94+J94</f>
        <v>100</v>
      </c>
      <c r="L94" s="910"/>
      <c r="M94" s="910">
        <v>100</v>
      </c>
      <c r="N94" s="906"/>
      <c r="O94" s="640">
        <f t="shared" si="33"/>
        <v>100</v>
      </c>
    </row>
    <row r="95" spans="1:15" s="641" customFormat="1" ht="18.95" customHeight="1" x14ac:dyDescent="0.2">
      <c r="A95" s="639"/>
      <c r="B95" s="553" t="s">
        <v>559</v>
      </c>
      <c r="C95" s="904">
        <v>8000</v>
      </c>
      <c r="D95" s="904"/>
      <c r="E95" s="904">
        <f>C95+D95</f>
        <v>8000</v>
      </c>
      <c r="F95" s="1515">
        <v>2000</v>
      </c>
      <c r="G95" s="904">
        <f>E95+F95</f>
        <v>10000</v>
      </c>
      <c r="H95" s="904"/>
      <c r="I95" s="904">
        <f>G95+H95</f>
        <v>10000</v>
      </c>
      <c r="J95" s="1546">
        <f>6000+11727</f>
        <v>17727</v>
      </c>
      <c r="K95" s="910">
        <f>I95+J95</f>
        <v>27727</v>
      </c>
      <c r="L95" s="905"/>
      <c r="M95" s="904">
        <v>27727</v>
      </c>
      <c r="N95" s="906"/>
      <c r="O95" s="640">
        <f t="shared" si="33"/>
        <v>27727</v>
      </c>
    </row>
    <row r="96" spans="1:15" s="641" customFormat="1" ht="18.95" customHeight="1" thickBot="1" x14ac:dyDescent="0.25">
      <c r="A96" s="1470"/>
      <c r="B96" s="1556" t="s">
        <v>960</v>
      </c>
      <c r="C96" s="1387"/>
      <c r="D96" s="1387"/>
      <c r="E96" s="1387"/>
      <c r="F96" s="1557"/>
      <c r="G96" s="1387"/>
      <c r="H96" s="1387">
        <v>1500</v>
      </c>
      <c r="I96" s="1387">
        <v>1500</v>
      </c>
      <c r="J96" s="1547">
        <v>2532</v>
      </c>
      <c r="K96" s="914">
        <f>I96+J96</f>
        <v>4032</v>
      </c>
      <c r="L96" s="915">
        <v>4032</v>
      </c>
      <c r="M96" s="1387"/>
      <c r="N96" s="916"/>
      <c r="O96" s="640"/>
    </row>
    <row r="97" spans="1:15" s="636" customFormat="1" ht="35.1" customHeight="1" thickBot="1" x14ac:dyDescent="0.25">
      <c r="A97" s="660" t="s">
        <v>378</v>
      </c>
      <c r="B97" s="651" t="s">
        <v>114</v>
      </c>
      <c r="C97" s="917">
        <f t="shared" ref="C97:L97" si="37">C98+C104+C105+C117+C119+C125+C126+C127</f>
        <v>316785</v>
      </c>
      <c r="D97" s="917">
        <f t="shared" si="37"/>
        <v>0</v>
      </c>
      <c r="E97" s="917">
        <f t="shared" si="37"/>
        <v>336997</v>
      </c>
      <c r="F97" s="917">
        <f t="shared" si="37"/>
        <v>31480</v>
      </c>
      <c r="G97" s="917">
        <f t="shared" si="37"/>
        <v>368477</v>
      </c>
      <c r="H97" s="917">
        <f t="shared" si="37"/>
        <v>16844</v>
      </c>
      <c r="I97" s="917">
        <f t="shared" si="37"/>
        <v>385321</v>
      </c>
      <c r="J97" s="917">
        <f>J98+J104+J105+J117+J119+J125+J126+J127</f>
        <v>19725</v>
      </c>
      <c r="K97" s="917">
        <f t="shared" si="37"/>
        <v>405046</v>
      </c>
      <c r="L97" s="917">
        <f t="shared" si="37"/>
        <v>282552</v>
      </c>
      <c r="M97" s="917">
        <f>M98+M104+M105+M117+M119+M125+M126+M127</f>
        <v>122494</v>
      </c>
      <c r="N97" s="899"/>
      <c r="O97" s="635">
        <f t="shared" si="33"/>
        <v>405046</v>
      </c>
    </row>
    <row r="98" spans="1:15" s="636" customFormat="1" ht="33" customHeight="1" x14ac:dyDescent="0.2">
      <c r="A98" s="633" t="s">
        <v>395</v>
      </c>
      <c r="B98" s="649" t="s">
        <v>396</v>
      </c>
      <c r="C98" s="919">
        <f>SUM(C99)</f>
        <v>2000</v>
      </c>
      <c r="D98" s="919">
        <f>SUM(D99)</f>
        <v>0</v>
      </c>
      <c r="E98" s="919">
        <f>SUM(E99:E100)</f>
        <v>3500</v>
      </c>
      <c r="F98" s="919">
        <f>SUM(F99:F100)</f>
        <v>1600</v>
      </c>
      <c r="G98" s="919">
        <f>SUM(G99+G100)</f>
        <v>5100</v>
      </c>
      <c r="H98" s="919">
        <f>SUM(H99:H103)</f>
        <v>4000</v>
      </c>
      <c r="I98" s="919">
        <f>SUM(I99:I103)</f>
        <v>9100</v>
      </c>
      <c r="J98" s="1452">
        <f>SUM(J99:J103)</f>
        <v>2050</v>
      </c>
      <c r="K98" s="919">
        <f>SUM(K99:K103)</f>
        <v>11150</v>
      </c>
      <c r="L98" s="919">
        <f>SUM(L99)</f>
        <v>0</v>
      </c>
      <c r="M98" s="919">
        <f>SUM(M99:M103)</f>
        <v>11150</v>
      </c>
      <c r="N98" s="901"/>
      <c r="O98" s="635">
        <f t="shared" si="33"/>
        <v>11150</v>
      </c>
    </row>
    <row r="99" spans="1:15" s="661" customFormat="1" ht="18.95" customHeight="1" x14ac:dyDescent="0.2">
      <c r="A99" s="654"/>
      <c r="B99" s="655" t="s">
        <v>83</v>
      </c>
      <c r="C99" s="923">
        <v>2000</v>
      </c>
      <c r="D99" s="923"/>
      <c r="E99" s="923">
        <f>C99+D99</f>
        <v>2000</v>
      </c>
      <c r="F99" s="923"/>
      <c r="G99" s="923">
        <f>E99+F99</f>
        <v>2000</v>
      </c>
      <c r="H99" s="923">
        <v>200</v>
      </c>
      <c r="I99" s="923">
        <f>G99+H99</f>
        <v>2200</v>
      </c>
      <c r="J99" s="1545">
        <v>550</v>
      </c>
      <c r="K99" s="923">
        <f>I99+J99</f>
        <v>2750</v>
      </c>
      <c r="L99" s="924"/>
      <c r="M99" s="924">
        <v>2750</v>
      </c>
      <c r="N99" s="925"/>
      <c r="O99" s="656">
        <f t="shared" si="33"/>
        <v>2750</v>
      </c>
    </row>
    <row r="100" spans="1:15" s="661" customFormat="1" ht="18.95" customHeight="1" x14ac:dyDescent="0.2">
      <c r="A100" s="654"/>
      <c r="B100" s="655" t="s">
        <v>906</v>
      </c>
      <c r="C100" s="923"/>
      <c r="D100" s="923"/>
      <c r="E100" s="923">
        <v>1500</v>
      </c>
      <c r="F100" s="923">
        <v>1600</v>
      </c>
      <c r="G100" s="923">
        <v>3100</v>
      </c>
      <c r="H100" s="923">
        <v>0</v>
      </c>
      <c r="I100" s="923">
        <f>G100+H100</f>
        <v>3100</v>
      </c>
      <c r="J100" s="1545"/>
      <c r="K100" s="923">
        <f>I100+J100</f>
        <v>3100</v>
      </c>
      <c r="L100" s="1366"/>
      <c r="M100" s="1366">
        <v>3100</v>
      </c>
      <c r="N100" s="925"/>
      <c r="O100" s="656"/>
    </row>
    <row r="101" spans="1:15" s="661" customFormat="1" ht="18.95" customHeight="1" x14ac:dyDescent="0.2">
      <c r="A101" s="654"/>
      <c r="B101" s="553" t="s">
        <v>192</v>
      </c>
      <c r="C101" s="923"/>
      <c r="D101" s="923"/>
      <c r="E101" s="923"/>
      <c r="F101" s="923"/>
      <c r="G101" s="923"/>
      <c r="H101" s="923">
        <v>300</v>
      </c>
      <c r="I101" s="923">
        <v>300</v>
      </c>
      <c r="J101" s="1545"/>
      <c r="K101" s="923">
        <f>I101+J101</f>
        <v>300</v>
      </c>
      <c r="L101" s="1366"/>
      <c r="M101" s="1366">
        <v>300</v>
      </c>
      <c r="N101" s="925"/>
      <c r="O101" s="656"/>
    </row>
    <row r="102" spans="1:15" s="661" customFormat="1" ht="18.95" customHeight="1" x14ac:dyDescent="0.2">
      <c r="A102" s="654"/>
      <c r="B102" s="553" t="s">
        <v>118</v>
      </c>
      <c r="C102" s="923"/>
      <c r="D102" s="923"/>
      <c r="E102" s="923"/>
      <c r="F102" s="923"/>
      <c r="G102" s="923"/>
      <c r="H102" s="923"/>
      <c r="I102" s="923"/>
      <c r="J102" s="1545">
        <v>1500</v>
      </c>
      <c r="K102" s="923">
        <v>1500</v>
      </c>
      <c r="L102" s="1366"/>
      <c r="M102" s="1366">
        <v>1500</v>
      </c>
      <c r="N102" s="925"/>
      <c r="O102" s="656"/>
    </row>
    <row r="103" spans="1:15" s="661" customFormat="1" ht="18.95" customHeight="1" thickBot="1" x14ac:dyDescent="0.25">
      <c r="A103" s="1561"/>
      <c r="B103" s="1562" t="s">
        <v>117</v>
      </c>
      <c r="C103" s="1563"/>
      <c r="D103" s="1563"/>
      <c r="E103" s="1563"/>
      <c r="F103" s="1563"/>
      <c r="G103" s="1563"/>
      <c r="H103" s="1563">
        <v>3500</v>
      </c>
      <c r="I103" s="1563">
        <v>3500</v>
      </c>
      <c r="J103" s="1564"/>
      <c r="K103" s="1563">
        <f>I103+J103</f>
        <v>3500</v>
      </c>
      <c r="L103" s="1565"/>
      <c r="M103" s="1565">
        <v>3500</v>
      </c>
      <c r="N103" s="1566"/>
      <c r="O103" s="656"/>
    </row>
    <row r="104" spans="1:15" s="636" customFormat="1" ht="30" customHeight="1" x14ac:dyDescent="0.2">
      <c r="A104" s="652" t="s">
        <v>398</v>
      </c>
      <c r="B104" s="1559" t="s">
        <v>397</v>
      </c>
      <c r="C104" s="921">
        <v>0</v>
      </c>
      <c r="D104" s="921"/>
      <c r="E104" s="921">
        <v>300</v>
      </c>
      <c r="F104" s="921">
        <v>40</v>
      </c>
      <c r="G104" s="921">
        <f>E104+F104</f>
        <v>340</v>
      </c>
      <c r="H104" s="921"/>
      <c r="I104" s="921">
        <f>G104+H104</f>
        <v>340</v>
      </c>
      <c r="J104" s="1550">
        <v>40</v>
      </c>
      <c r="K104" s="921">
        <f>I104+J104</f>
        <v>380</v>
      </c>
      <c r="L104" s="921">
        <v>0</v>
      </c>
      <c r="M104" s="921">
        <v>380</v>
      </c>
      <c r="N104" s="922"/>
      <c r="O104" s="635">
        <f t="shared" ref="O104:O137" si="38">SUM(L104:N104)</f>
        <v>380</v>
      </c>
    </row>
    <row r="105" spans="1:15" s="636" customFormat="1" ht="30" customHeight="1" x14ac:dyDescent="0.2">
      <c r="A105" s="637" t="s">
        <v>399</v>
      </c>
      <c r="B105" s="645" t="s">
        <v>400</v>
      </c>
      <c r="C105" s="908">
        <f>SUM(C106:C114)</f>
        <v>126780</v>
      </c>
      <c r="D105" s="908">
        <f>SUM(D106:D114)</f>
        <v>0</v>
      </c>
      <c r="E105" s="908">
        <f t="shared" ref="E105:I105" si="39">SUM(E106:E116)</f>
        <v>129692</v>
      </c>
      <c r="F105" s="908">
        <f t="shared" si="39"/>
        <v>21840</v>
      </c>
      <c r="G105" s="908">
        <f t="shared" si="39"/>
        <v>151532</v>
      </c>
      <c r="H105" s="908">
        <f t="shared" si="39"/>
        <v>12844</v>
      </c>
      <c r="I105" s="908">
        <f t="shared" si="39"/>
        <v>164376</v>
      </c>
      <c r="J105" s="1544">
        <f>SUM(J106:J116)</f>
        <v>13340</v>
      </c>
      <c r="K105" s="908">
        <f>SUM(K106:K116)</f>
        <v>177716</v>
      </c>
      <c r="L105" s="908">
        <f>SUM(L106:L116)</f>
        <v>78902</v>
      </c>
      <c r="M105" s="908">
        <f>SUM(M106:M116)</f>
        <v>98814</v>
      </c>
      <c r="N105" s="909"/>
      <c r="O105" s="635">
        <f t="shared" si="38"/>
        <v>177716</v>
      </c>
    </row>
    <row r="106" spans="1:15" s="641" customFormat="1" ht="18.95" customHeight="1" x14ac:dyDescent="0.2">
      <c r="A106" s="639"/>
      <c r="B106" s="553" t="s">
        <v>558</v>
      </c>
      <c r="C106" s="910">
        <v>46000</v>
      </c>
      <c r="D106" s="910"/>
      <c r="E106" s="910">
        <f t="shared" ref="E106:E114" si="40">C106+D106</f>
        <v>46000</v>
      </c>
      <c r="F106" s="1432">
        <v>4812</v>
      </c>
      <c r="G106" s="910">
        <f t="shared" ref="G106:G114" si="41">E106+F106</f>
        <v>50812</v>
      </c>
      <c r="H106" s="910"/>
      <c r="I106" s="910">
        <f t="shared" ref="I106:K116" si="42">G106+H106</f>
        <v>50812</v>
      </c>
      <c r="J106" s="1543">
        <v>-10541</v>
      </c>
      <c r="K106" s="910">
        <f t="shared" si="42"/>
        <v>40271</v>
      </c>
      <c r="L106" s="905">
        <v>40271</v>
      </c>
      <c r="M106" s="905"/>
      <c r="N106" s="906"/>
      <c r="O106" s="640">
        <f t="shared" si="38"/>
        <v>40271</v>
      </c>
    </row>
    <row r="107" spans="1:15" s="641" customFormat="1" ht="18.95" customHeight="1" x14ac:dyDescent="0.2">
      <c r="A107" s="639"/>
      <c r="B107" s="553" t="s">
        <v>557</v>
      </c>
      <c r="C107" s="910">
        <v>10480</v>
      </c>
      <c r="D107" s="910"/>
      <c r="E107" s="910">
        <f t="shared" si="40"/>
        <v>10480</v>
      </c>
      <c r="F107" s="1354"/>
      <c r="G107" s="910">
        <f t="shared" si="41"/>
        <v>10480</v>
      </c>
      <c r="H107" s="910"/>
      <c r="I107" s="910">
        <f t="shared" si="42"/>
        <v>10480</v>
      </c>
      <c r="J107" s="1543">
        <f>10541+125</f>
        <v>10666</v>
      </c>
      <c r="K107" s="910">
        <f t="shared" si="42"/>
        <v>21146</v>
      </c>
      <c r="L107" s="910">
        <v>21146</v>
      </c>
      <c r="M107" s="905"/>
      <c r="N107" s="906"/>
      <c r="O107" s="640">
        <f t="shared" si="38"/>
        <v>21146</v>
      </c>
    </row>
    <row r="108" spans="1:15" s="641" customFormat="1" ht="18.95" customHeight="1" x14ac:dyDescent="0.2">
      <c r="A108" s="639"/>
      <c r="B108" s="647" t="s">
        <v>556</v>
      </c>
      <c r="C108" s="910">
        <v>10000</v>
      </c>
      <c r="D108" s="910"/>
      <c r="E108" s="910">
        <f t="shared" si="40"/>
        <v>10000</v>
      </c>
      <c r="F108" s="1432">
        <v>3462</v>
      </c>
      <c r="G108" s="910">
        <f t="shared" si="41"/>
        <v>13462</v>
      </c>
      <c r="H108" s="910"/>
      <c r="I108" s="910">
        <f t="shared" si="42"/>
        <v>13462</v>
      </c>
      <c r="J108" s="1543"/>
      <c r="K108" s="910">
        <f t="shared" si="42"/>
        <v>13462</v>
      </c>
      <c r="L108" s="905"/>
      <c r="M108" s="910">
        <v>13462</v>
      </c>
      <c r="N108" s="906"/>
      <c r="O108" s="640">
        <f t="shared" si="38"/>
        <v>13462</v>
      </c>
    </row>
    <row r="109" spans="1:15" s="641" customFormat="1" ht="18.95" customHeight="1" x14ac:dyDescent="0.2">
      <c r="A109" s="639"/>
      <c r="B109" s="553" t="s">
        <v>192</v>
      </c>
      <c r="C109" s="910">
        <v>300</v>
      </c>
      <c r="D109" s="910"/>
      <c r="E109" s="910">
        <f t="shared" si="40"/>
        <v>300</v>
      </c>
      <c r="F109" s="1354"/>
      <c r="G109" s="910">
        <f t="shared" si="41"/>
        <v>300</v>
      </c>
      <c r="H109" s="910">
        <v>-300</v>
      </c>
      <c r="I109" s="910">
        <f t="shared" si="42"/>
        <v>0</v>
      </c>
      <c r="J109" s="1543"/>
      <c r="K109" s="910">
        <f t="shared" si="42"/>
        <v>0</v>
      </c>
      <c r="L109" s="905"/>
      <c r="M109" s="910">
        <v>0</v>
      </c>
      <c r="N109" s="906"/>
      <c r="O109" s="640">
        <f t="shared" si="38"/>
        <v>0</v>
      </c>
    </row>
    <row r="110" spans="1:15" s="641" customFormat="1" ht="18.95" customHeight="1" x14ac:dyDescent="0.2">
      <c r="A110" s="639"/>
      <c r="B110" s="553" t="s">
        <v>971</v>
      </c>
      <c r="C110" s="910"/>
      <c r="D110" s="910"/>
      <c r="E110" s="910"/>
      <c r="F110" s="1354"/>
      <c r="G110" s="910"/>
      <c r="H110" s="910"/>
      <c r="I110" s="910"/>
      <c r="J110" s="1543">
        <v>40</v>
      </c>
      <c r="K110" s="910">
        <f t="shared" si="42"/>
        <v>40</v>
      </c>
      <c r="L110" s="905"/>
      <c r="M110" s="910">
        <v>40</v>
      </c>
      <c r="N110" s="906"/>
      <c r="O110" s="640"/>
    </row>
    <row r="111" spans="1:15" s="641" customFormat="1" ht="18.95" customHeight="1" x14ac:dyDescent="0.2">
      <c r="A111" s="639"/>
      <c r="B111" s="553" t="s">
        <v>117</v>
      </c>
      <c r="C111" s="910">
        <v>3500</v>
      </c>
      <c r="D111" s="910"/>
      <c r="E111" s="910">
        <f t="shared" si="40"/>
        <v>3500</v>
      </c>
      <c r="F111" s="1354"/>
      <c r="G111" s="910">
        <f t="shared" si="41"/>
        <v>3500</v>
      </c>
      <c r="H111" s="910">
        <v>-3500</v>
      </c>
      <c r="I111" s="910">
        <f t="shared" si="42"/>
        <v>0</v>
      </c>
      <c r="J111" s="1543"/>
      <c r="K111" s="910">
        <f t="shared" si="42"/>
        <v>0</v>
      </c>
      <c r="L111" s="905"/>
      <c r="M111" s="910">
        <v>0</v>
      </c>
      <c r="N111" s="906"/>
      <c r="O111" s="640">
        <f t="shared" si="38"/>
        <v>0</v>
      </c>
    </row>
    <row r="112" spans="1:15" s="641" customFormat="1" ht="18.95" customHeight="1" x14ac:dyDescent="0.2">
      <c r="A112" s="639"/>
      <c r="B112" s="553" t="s">
        <v>118</v>
      </c>
      <c r="C112" s="910">
        <v>1500</v>
      </c>
      <c r="D112" s="910"/>
      <c r="E112" s="910">
        <f t="shared" si="40"/>
        <v>1500</v>
      </c>
      <c r="F112" s="1354"/>
      <c r="G112" s="910">
        <f t="shared" si="41"/>
        <v>1500</v>
      </c>
      <c r="H112" s="910"/>
      <c r="I112" s="910">
        <f t="shared" si="42"/>
        <v>1500</v>
      </c>
      <c r="J112" s="1543">
        <v>-1500</v>
      </c>
      <c r="K112" s="910">
        <f t="shared" si="42"/>
        <v>0</v>
      </c>
      <c r="L112" s="905"/>
      <c r="M112" s="910">
        <v>0</v>
      </c>
      <c r="N112" s="906"/>
      <c r="O112" s="640">
        <f t="shared" si="38"/>
        <v>0</v>
      </c>
    </row>
    <row r="113" spans="1:15" s="641" customFormat="1" ht="18.95" customHeight="1" x14ac:dyDescent="0.2">
      <c r="A113" s="639"/>
      <c r="B113" s="553" t="s">
        <v>555</v>
      </c>
      <c r="C113" s="910">
        <v>10000</v>
      </c>
      <c r="D113" s="910"/>
      <c r="E113" s="910">
        <f t="shared" si="40"/>
        <v>10000</v>
      </c>
      <c r="F113" s="1354"/>
      <c r="G113" s="910">
        <f t="shared" si="41"/>
        <v>10000</v>
      </c>
      <c r="H113" s="910">
        <v>6644</v>
      </c>
      <c r="I113" s="910">
        <f t="shared" si="42"/>
        <v>16644</v>
      </c>
      <c r="J113" s="1543">
        <f>-537+1378</f>
        <v>841</v>
      </c>
      <c r="K113" s="910">
        <f t="shared" si="42"/>
        <v>17485</v>
      </c>
      <c r="L113" s="910">
        <v>17485</v>
      </c>
      <c r="M113" s="905"/>
      <c r="N113" s="906"/>
      <c r="O113" s="640">
        <f t="shared" si="38"/>
        <v>17485</v>
      </c>
    </row>
    <row r="114" spans="1:15" s="641" customFormat="1" ht="18.95" customHeight="1" x14ac:dyDescent="0.2">
      <c r="A114" s="639"/>
      <c r="B114" s="553" t="s">
        <v>554</v>
      </c>
      <c r="C114" s="910">
        <v>45000</v>
      </c>
      <c r="D114" s="910"/>
      <c r="E114" s="910">
        <f t="shared" si="40"/>
        <v>45000</v>
      </c>
      <c r="F114" s="1432">
        <v>13566</v>
      </c>
      <c r="G114" s="910">
        <f t="shared" si="41"/>
        <v>58566</v>
      </c>
      <c r="H114" s="910">
        <v>10000</v>
      </c>
      <c r="I114" s="910">
        <f t="shared" si="42"/>
        <v>68566</v>
      </c>
      <c r="J114" s="1543">
        <f>8800+537+4497</f>
        <v>13834</v>
      </c>
      <c r="K114" s="910">
        <f t="shared" si="42"/>
        <v>82400</v>
      </c>
      <c r="L114" s="905">
        <v>0</v>
      </c>
      <c r="M114" s="910">
        <v>82400</v>
      </c>
      <c r="N114" s="906"/>
      <c r="O114" s="640">
        <f t="shared" si="38"/>
        <v>82400</v>
      </c>
    </row>
    <row r="115" spans="1:15" s="641" customFormat="1" ht="18.95" customHeight="1" x14ac:dyDescent="0.2">
      <c r="A115" s="639"/>
      <c r="B115" s="553" t="s">
        <v>972</v>
      </c>
      <c r="C115" s="910"/>
      <c r="D115" s="910"/>
      <c r="E115" s="910"/>
      <c r="F115" s="1432"/>
      <c r="G115" s="910"/>
      <c r="H115" s="910"/>
      <c r="I115" s="910"/>
      <c r="J115" s="1543"/>
      <c r="K115" s="910"/>
      <c r="L115" s="907"/>
      <c r="M115" s="910"/>
      <c r="N115" s="906"/>
      <c r="O115" s="640"/>
    </row>
    <row r="116" spans="1:15" s="641" customFormat="1" ht="18.95" customHeight="1" x14ac:dyDescent="0.2">
      <c r="A116" s="639"/>
      <c r="B116" s="553" t="s">
        <v>907</v>
      </c>
      <c r="C116" s="910"/>
      <c r="D116" s="910"/>
      <c r="E116" s="910">
        <v>2912</v>
      </c>
      <c r="F116" s="910">
        <v>0</v>
      </c>
      <c r="G116" s="910">
        <v>2912</v>
      </c>
      <c r="H116" s="910"/>
      <c r="I116" s="910">
        <f t="shared" si="42"/>
        <v>2912</v>
      </c>
      <c r="J116" s="1543"/>
      <c r="K116" s="910">
        <f t="shared" si="42"/>
        <v>2912</v>
      </c>
      <c r="L116" s="907"/>
      <c r="M116" s="910">
        <v>2912</v>
      </c>
      <c r="N116" s="906"/>
      <c r="O116" s="640">
        <f t="shared" si="38"/>
        <v>2912</v>
      </c>
    </row>
    <row r="117" spans="1:15" s="636" customFormat="1" ht="30" customHeight="1" x14ac:dyDescent="0.2">
      <c r="A117" s="637" t="s">
        <v>402</v>
      </c>
      <c r="B117" s="645" t="s">
        <v>401</v>
      </c>
      <c r="C117" s="908">
        <f t="shared" ref="C117:M117" si="43">SUM(C118)</f>
        <v>34000</v>
      </c>
      <c r="D117" s="908">
        <f t="shared" si="43"/>
        <v>0</v>
      </c>
      <c r="E117" s="908">
        <f t="shared" si="43"/>
        <v>34000</v>
      </c>
      <c r="F117" s="1355">
        <f t="shared" si="43"/>
        <v>0</v>
      </c>
      <c r="G117" s="908">
        <f t="shared" si="43"/>
        <v>34000</v>
      </c>
      <c r="H117" s="908">
        <f>SUM(H118)</f>
        <v>0</v>
      </c>
      <c r="I117" s="908">
        <f>SUM(I118)</f>
        <v>34000</v>
      </c>
      <c r="J117" s="1544">
        <f>SUM(J118)</f>
        <v>0</v>
      </c>
      <c r="K117" s="908">
        <f>SUM(K118)</f>
        <v>34000</v>
      </c>
      <c r="L117" s="908">
        <f t="shared" si="43"/>
        <v>21850</v>
      </c>
      <c r="M117" s="908">
        <f t="shared" si="43"/>
        <v>12150</v>
      </c>
      <c r="N117" s="909"/>
      <c r="O117" s="635">
        <f t="shared" si="38"/>
        <v>34000</v>
      </c>
    </row>
    <row r="118" spans="1:15" s="641" customFormat="1" ht="18.95" customHeight="1" x14ac:dyDescent="0.2">
      <c r="A118" s="639"/>
      <c r="B118" s="553" t="s">
        <v>553</v>
      </c>
      <c r="C118" s="910">
        <v>34000</v>
      </c>
      <c r="D118" s="910"/>
      <c r="E118" s="910">
        <f>C118+D118</f>
        <v>34000</v>
      </c>
      <c r="F118" s="1354"/>
      <c r="G118" s="910">
        <f>E118+F118</f>
        <v>34000</v>
      </c>
      <c r="H118" s="910"/>
      <c r="I118" s="910">
        <f>G118+H118</f>
        <v>34000</v>
      </c>
      <c r="J118" s="1543"/>
      <c r="K118" s="910">
        <f>I118+J118</f>
        <v>34000</v>
      </c>
      <c r="L118" s="905">
        <f>C118-M118</f>
        <v>21850</v>
      </c>
      <c r="M118" s="905">
        <v>12150</v>
      </c>
      <c r="N118" s="906"/>
      <c r="O118" s="640">
        <f t="shared" si="38"/>
        <v>34000</v>
      </c>
    </row>
    <row r="119" spans="1:15" s="636" customFormat="1" ht="30" customHeight="1" x14ac:dyDescent="0.2">
      <c r="A119" s="637" t="s">
        <v>403</v>
      </c>
      <c r="B119" s="662" t="s">
        <v>404</v>
      </c>
      <c r="C119" s="908">
        <f t="shared" ref="C119:M119" si="44">C120+C121</f>
        <v>138250</v>
      </c>
      <c r="D119" s="908">
        <f t="shared" si="44"/>
        <v>0</v>
      </c>
      <c r="E119" s="908">
        <f t="shared" si="44"/>
        <v>138250</v>
      </c>
      <c r="F119" s="1355">
        <f t="shared" si="44"/>
        <v>0</v>
      </c>
      <c r="G119" s="908">
        <f t="shared" si="44"/>
        <v>138250</v>
      </c>
      <c r="H119" s="908">
        <f>H120+H121</f>
        <v>0</v>
      </c>
      <c r="I119" s="908">
        <f>I120+I121</f>
        <v>138250</v>
      </c>
      <c r="J119" s="1544">
        <f>J120+J121</f>
        <v>0</v>
      </c>
      <c r="K119" s="908">
        <f>K120+K121</f>
        <v>138250</v>
      </c>
      <c r="L119" s="908">
        <f t="shared" si="44"/>
        <v>138250</v>
      </c>
      <c r="M119" s="908">
        <f t="shared" si="44"/>
        <v>0</v>
      </c>
      <c r="N119" s="909"/>
      <c r="O119" s="635">
        <f t="shared" si="38"/>
        <v>138250</v>
      </c>
    </row>
    <row r="120" spans="1:15" s="641" customFormat="1" ht="18.95" customHeight="1" x14ac:dyDescent="0.2">
      <c r="A120" s="639"/>
      <c r="B120" s="553" t="s">
        <v>551</v>
      </c>
      <c r="C120" s="910">
        <f>'8'!C68*0.2125+0.5</f>
        <v>10838</v>
      </c>
      <c r="D120" s="910"/>
      <c r="E120" s="910">
        <f>C120+D120</f>
        <v>10838</v>
      </c>
      <c r="F120" s="1354"/>
      <c r="G120" s="910">
        <f>D120+E120</f>
        <v>10838</v>
      </c>
      <c r="H120" s="910"/>
      <c r="I120" s="910">
        <f>G120+H120</f>
        <v>10838</v>
      </c>
      <c r="J120" s="1543"/>
      <c r="K120" s="910">
        <f>I120+J120</f>
        <v>10838</v>
      </c>
      <c r="L120" s="910">
        <f>C120</f>
        <v>10838</v>
      </c>
      <c r="M120" s="905"/>
      <c r="N120" s="906"/>
      <c r="O120" s="640">
        <f t="shared" si="38"/>
        <v>10838</v>
      </c>
    </row>
    <row r="121" spans="1:15" s="641" customFormat="1" ht="18.95" customHeight="1" x14ac:dyDescent="0.2">
      <c r="A121" s="639"/>
      <c r="B121" s="647" t="s">
        <v>552</v>
      </c>
      <c r="C121" s="910">
        <f t="shared" ref="C121:L121" si="45">SUM(C122:C124)</f>
        <v>127412</v>
      </c>
      <c r="D121" s="910">
        <f t="shared" si="45"/>
        <v>0</v>
      </c>
      <c r="E121" s="910">
        <f t="shared" si="45"/>
        <v>127412</v>
      </c>
      <c r="F121" s="1354">
        <f t="shared" si="45"/>
        <v>0</v>
      </c>
      <c r="G121" s="910">
        <f t="shared" si="45"/>
        <v>127412</v>
      </c>
      <c r="H121" s="910">
        <f>SUM(H122:H124)</f>
        <v>0</v>
      </c>
      <c r="I121" s="910">
        <f>SUM(I122:I124)</f>
        <v>127412</v>
      </c>
      <c r="J121" s="1543">
        <f>SUM(J122:J124)</f>
        <v>0</v>
      </c>
      <c r="K121" s="910">
        <f>I121+J121</f>
        <v>127412</v>
      </c>
      <c r="L121" s="910">
        <f t="shared" si="45"/>
        <v>127412</v>
      </c>
      <c r="M121" s="905"/>
      <c r="N121" s="906"/>
      <c r="O121" s="640">
        <f t="shared" si="38"/>
        <v>127412</v>
      </c>
    </row>
    <row r="122" spans="1:15" s="657" customFormat="1" ht="18.95" customHeight="1" x14ac:dyDescent="0.2">
      <c r="A122" s="654"/>
      <c r="B122" s="655" t="s">
        <v>186</v>
      </c>
      <c r="C122" s="923">
        <f>'10'!C74</f>
        <v>3780</v>
      </c>
      <c r="D122" s="923"/>
      <c r="E122" s="923">
        <f t="shared" ref="E122:E126" si="46">C122+D122</f>
        <v>3780</v>
      </c>
      <c r="F122" s="1356"/>
      <c r="G122" s="923">
        <f t="shared" ref="G122:G127" si="47">E122+F122</f>
        <v>3780</v>
      </c>
      <c r="H122" s="923"/>
      <c r="I122" s="923">
        <f t="shared" ref="I122:K127" si="48">G122+H122</f>
        <v>3780</v>
      </c>
      <c r="J122" s="1545"/>
      <c r="K122" s="910">
        <f>I122+J122</f>
        <v>3780</v>
      </c>
      <c r="L122" s="923">
        <f>'10'!L74</f>
        <v>3780</v>
      </c>
      <c r="M122" s="923"/>
      <c r="N122" s="925"/>
      <c r="O122" s="656">
        <f t="shared" si="38"/>
        <v>3780</v>
      </c>
    </row>
    <row r="123" spans="1:15" s="657" customFormat="1" ht="18.95" customHeight="1" x14ac:dyDescent="0.2">
      <c r="A123" s="654"/>
      <c r="B123" s="655" t="s">
        <v>485</v>
      </c>
      <c r="C123" s="923">
        <f>'10'!C23</f>
        <v>17820</v>
      </c>
      <c r="D123" s="923"/>
      <c r="E123" s="923">
        <f t="shared" si="46"/>
        <v>17820</v>
      </c>
      <c r="F123" s="1356"/>
      <c r="G123" s="923">
        <f t="shared" si="47"/>
        <v>17820</v>
      </c>
      <c r="H123" s="923"/>
      <c r="I123" s="923">
        <f t="shared" si="48"/>
        <v>17820</v>
      </c>
      <c r="J123" s="1545"/>
      <c r="K123" s="910">
        <f>I123+J123</f>
        <v>17820</v>
      </c>
      <c r="L123" s="923">
        <f>'10'!L23</f>
        <v>17820</v>
      </c>
      <c r="M123" s="924"/>
      <c r="N123" s="925"/>
      <c r="O123" s="656">
        <f t="shared" si="38"/>
        <v>17820</v>
      </c>
    </row>
    <row r="124" spans="1:15" s="657" customFormat="1" ht="18.95" customHeight="1" x14ac:dyDescent="0.2">
      <c r="A124" s="654"/>
      <c r="B124" s="655" t="s">
        <v>255</v>
      </c>
      <c r="C124" s="923">
        <f>'10'!C21</f>
        <v>105812</v>
      </c>
      <c r="D124" s="923"/>
      <c r="E124" s="923">
        <f t="shared" si="46"/>
        <v>105812</v>
      </c>
      <c r="F124" s="1356"/>
      <c r="G124" s="923">
        <f t="shared" si="47"/>
        <v>105812</v>
      </c>
      <c r="H124" s="923"/>
      <c r="I124" s="923">
        <f t="shared" si="48"/>
        <v>105812</v>
      </c>
      <c r="J124" s="1545"/>
      <c r="K124" s="910">
        <f>I124+J124</f>
        <v>105812</v>
      </c>
      <c r="L124" s="923">
        <f>'10'!L21</f>
        <v>105812</v>
      </c>
      <c r="M124" s="924"/>
      <c r="N124" s="925"/>
      <c r="O124" s="656">
        <f t="shared" si="38"/>
        <v>105812</v>
      </c>
    </row>
    <row r="125" spans="1:15" s="636" customFormat="1" ht="30" customHeight="1" x14ac:dyDescent="0.2">
      <c r="A125" s="637" t="s">
        <v>405</v>
      </c>
      <c r="B125" s="662" t="s">
        <v>406</v>
      </c>
      <c r="C125" s="908">
        <v>5000</v>
      </c>
      <c r="D125" s="908"/>
      <c r="E125" s="908">
        <v>9000</v>
      </c>
      <c r="F125" s="908">
        <v>4000</v>
      </c>
      <c r="G125" s="908">
        <f t="shared" si="47"/>
        <v>13000</v>
      </c>
      <c r="H125" s="908">
        <v>800</v>
      </c>
      <c r="I125" s="908">
        <f t="shared" si="48"/>
        <v>13800</v>
      </c>
      <c r="J125" s="1544">
        <v>620</v>
      </c>
      <c r="K125" s="908">
        <f t="shared" si="48"/>
        <v>14420</v>
      </c>
      <c r="L125" s="908">
        <v>14420</v>
      </c>
      <c r="M125" s="929"/>
      <c r="N125" s="909"/>
      <c r="O125" s="635">
        <f t="shared" si="38"/>
        <v>14420</v>
      </c>
    </row>
    <row r="126" spans="1:15" s="636" customFormat="1" ht="30" customHeight="1" x14ac:dyDescent="0.2">
      <c r="A126" s="637" t="s">
        <v>407</v>
      </c>
      <c r="B126" s="662" t="s">
        <v>408</v>
      </c>
      <c r="C126" s="908">
        <v>10655</v>
      </c>
      <c r="D126" s="908"/>
      <c r="E126" s="908">
        <f t="shared" si="46"/>
        <v>10655</v>
      </c>
      <c r="F126" s="1431">
        <v>4000</v>
      </c>
      <c r="G126" s="908">
        <f t="shared" si="47"/>
        <v>14655</v>
      </c>
      <c r="H126" s="908">
        <v>-800</v>
      </c>
      <c r="I126" s="908">
        <f t="shared" si="48"/>
        <v>13855</v>
      </c>
      <c r="J126" s="1544">
        <v>2060</v>
      </c>
      <c r="K126" s="908">
        <f t="shared" si="48"/>
        <v>15915</v>
      </c>
      <c r="L126" s="908">
        <v>15915</v>
      </c>
      <c r="M126" s="929"/>
      <c r="N126" s="909"/>
      <c r="O126" s="635">
        <f t="shared" si="38"/>
        <v>15915</v>
      </c>
    </row>
    <row r="127" spans="1:15" s="636" customFormat="1" ht="30" customHeight="1" thickBot="1" x14ac:dyDescent="0.25">
      <c r="A127" s="1401" t="s">
        <v>409</v>
      </c>
      <c r="B127" s="1402" t="s">
        <v>410</v>
      </c>
      <c r="C127" s="1403">
        <v>100</v>
      </c>
      <c r="D127" s="1403"/>
      <c r="E127" s="1403">
        <v>11600</v>
      </c>
      <c r="F127" s="1403">
        <v>0</v>
      </c>
      <c r="G127" s="1403">
        <f t="shared" si="47"/>
        <v>11600</v>
      </c>
      <c r="H127" s="1403"/>
      <c r="I127" s="1403">
        <f t="shared" si="48"/>
        <v>11600</v>
      </c>
      <c r="J127" s="1551">
        <f>2+173+689+751</f>
        <v>1615</v>
      </c>
      <c r="K127" s="908">
        <f t="shared" si="48"/>
        <v>13215</v>
      </c>
      <c r="L127" s="1403">
        <v>13215</v>
      </c>
      <c r="M127" s="1558"/>
      <c r="N127" s="1404"/>
      <c r="O127" s="635">
        <f t="shared" si="38"/>
        <v>13215</v>
      </c>
    </row>
    <row r="128" spans="1:15" s="636" customFormat="1" ht="35.1" customHeight="1" thickBot="1" x14ac:dyDescent="0.25">
      <c r="A128" s="631" t="s">
        <v>379</v>
      </c>
      <c r="B128" s="651" t="s">
        <v>389</v>
      </c>
      <c r="C128" s="917">
        <f t="shared" ref="C128:M128" si="49">C129+C134+C137</f>
        <v>0</v>
      </c>
      <c r="D128" s="917">
        <f t="shared" si="49"/>
        <v>167</v>
      </c>
      <c r="E128" s="917">
        <f t="shared" si="49"/>
        <v>4167</v>
      </c>
      <c r="F128" s="917">
        <f t="shared" si="49"/>
        <v>0</v>
      </c>
      <c r="G128" s="917">
        <f t="shared" si="49"/>
        <v>4167</v>
      </c>
      <c r="H128" s="917">
        <f>H129+H134+H137</f>
        <v>0</v>
      </c>
      <c r="I128" s="917">
        <f>I129+I134+I137</f>
        <v>4167</v>
      </c>
      <c r="J128" s="917">
        <f>J129+J134+J137</f>
        <v>6913</v>
      </c>
      <c r="K128" s="917">
        <f>K129+K134+K137</f>
        <v>11080</v>
      </c>
      <c r="L128" s="917">
        <f t="shared" si="49"/>
        <v>7080</v>
      </c>
      <c r="M128" s="917">
        <f t="shared" si="49"/>
        <v>4000</v>
      </c>
      <c r="N128" s="918"/>
      <c r="O128" s="635">
        <f t="shared" si="38"/>
        <v>11080</v>
      </c>
    </row>
    <row r="129" spans="1:15" s="636" customFormat="1" ht="30" customHeight="1" x14ac:dyDescent="0.2">
      <c r="A129" s="633" t="s">
        <v>424</v>
      </c>
      <c r="B129" s="649" t="s">
        <v>423</v>
      </c>
      <c r="C129" s="919">
        <f>SUM(C130:C131)</f>
        <v>0</v>
      </c>
      <c r="D129" s="919">
        <f>SUM(D130:D131)</f>
        <v>167</v>
      </c>
      <c r="E129" s="919">
        <f>SUM(E130:E131)</f>
        <v>167</v>
      </c>
      <c r="F129" s="919">
        <f t="shared" ref="F129:K129" si="50">SUM(F130:F133)</f>
        <v>0</v>
      </c>
      <c r="G129" s="919">
        <f t="shared" si="50"/>
        <v>167</v>
      </c>
      <c r="H129" s="919">
        <f t="shared" si="50"/>
        <v>0</v>
      </c>
      <c r="I129" s="919">
        <f t="shared" si="50"/>
        <v>167</v>
      </c>
      <c r="J129" s="919">
        <f t="shared" si="50"/>
        <v>6913</v>
      </c>
      <c r="K129" s="919">
        <f t="shared" si="50"/>
        <v>7080</v>
      </c>
      <c r="L129" s="919">
        <f>SUM(L130:L131)</f>
        <v>7080</v>
      </c>
      <c r="M129" s="919">
        <f>SUM(M130:M131)</f>
        <v>0</v>
      </c>
      <c r="N129" s="930">
        <f>SUM(N130:N131)</f>
        <v>0</v>
      </c>
      <c r="O129" s="635">
        <f t="shared" si="38"/>
        <v>7080</v>
      </c>
    </row>
    <row r="130" spans="1:15" s="641" customFormat="1" ht="18.95" customHeight="1" x14ac:dyDescent="0.2">
      <c r="A130" s="639"/>
      <c r="B130" s="553" t="s">
        <v>550</v>
      </c>
      <c r="C130" s="910"/>
      <c r="D130" s="910"/>
      <c r="E130" s="910">
        <f>C130+D130</f>
        <v>0</v>
      </c>
      <c r="F130" s="910"/>
      <c r="G130" s="910">
        <f>E130+F130</f>
        <v>0</v>
      </c>
      <c r="H130" s="910"/>
      <c r="I130" s="910">
        <f>G130+H130</f>
        <v>0</v>
      </c>
      <c r="J130" s="910"/>
      <c r="K130" s="910">
        <f>I130+J130</f>
        <v>0</v>
      </c>
      <c r="L130" s="905"/>
      <c r="M130" s="905"/>
      <c r="N130" s="906"/>
      <c r="O130" s="640">
        <f t="shared" si="38"/>
        <v>0</v>
      </c>
    </row>
    <row r="131" spans="1:15" s="641" customFormat="1" ht="18.95" customHeight="1" x14ac:dyDescent="0.2">
      <c r="A131" s="639"/>
      <c r="B131" s="553" t="s">
        <v>549</v>
      </c>
      <c r="C131" s="910">
        <v>0</v>
      </c>
      <c r="D131" s="910">
        <v>167</v>
      </c>
      <c r="E131" s="910">
        <f>C131+D131</f>
        <v>167</v>
      </c>
      <c r="F131" s="910"/>
      <c r="G131" s="910">
        <f>E131+F131</f>
        <v>167</v>
      </c>
      <c r="H131" s="910"/>
      <c r="I131" s="910">
        <f>G131+H131</f>
        <v>167</v>
      </c>
      <c r="J131" s="1543">
        <v>6913</v>
      </c>
      <c r="K131" s="910">
        <f>I131+J131</f>
        <v>7080</v>
      </c>
      <c r="L131" s="905">
        <v>7080</v>
      </c>
      <c r="M131" s="910">
        <v>0</v>
      </c>
      <c r="N131" s="906"/>
      <c r="O131" s="640">
        <f t="shared" si="38"/>
        <v>7080</v>
      </c>
    </row>
    <row r="132" spans="1:15" s="641" customFormat="1" ht="18.95" customHeight="1" x14ac:dyDescent="0.2">
      <c r="A132" s="639"/>
      <c r="B132" s="553" t="s">
        <v>548</v>
      </c>
      <c r="C132" s="910">
        <v>0</v>
      </c>
      <c r="D132" s="910"/>
      <c r="E132" s="910">
        <f>C132+D132</f>
        <v>0</v>
      </c>
      <c r="F132" s="910"/>
      <c r="G132" s="910">
        <f>E132+F132</f>
        <v>0</v>
      </c>
      <c r="H132" s="910"/>
      <c r="I132" s="910">
        <f>G132+H132</f>
        <v>0</v>
      </c>
      <c r="J132" s="910"/>
      <c r="K132" s="910">
        <f>I132+J132</f>
        <v>0</v>
      </c>
      <c r="L132" s="905"/>
      <c r="M132" s="905"/>
      <c r="N132" s="906"/>
      <c r="O132" s="640">
        <f t="shared" si="38"/>
        <v>0</v>
      </c>
    </row>
    <row r="133" spans="1:15" s="641" customFormat="1" ht="18.95" customHeight="1" x14ac:dyDescent="0.2">
      <c r="A133" s="639"/>
      <c r="B133" s="553" t="s">
        <v>547</v>
      </c>
      <c r="C133" s="910">
        <v>0</v>
      </c>
      <c r="D133" s="910"/>
      <c r="E133" s="910">
        <f>C133+D133</f>
        <v>0</v>
      </c>
      <c r="F133" s="910"/>
      <c r="G133" s="910">
        <f>E133+F133</f>
        <v>0</v>
      </c>
      <c r="H133" s="910"/>
      <c r="I133" s="910">
        <f>G133+H133</f>
        <v>0</v>
      </c>
      <c r="J133" s="910"/>
      <c r="K133" s="910">
        <f>I133+J133</f>
        <v>0</v>
      </c>
      <c r="L133" s="905"/>
      <c r="M133" s="905"/>
      <c r="N133" s="906"/>
      <c r="O133" s="640">
        <f t="shared" si="38"/>
        <v>0</v>
      </c>
    </row>
    <row r="134" spans="1:15" s="636" customFormat="1" ht="30" customHeight="1" x14ac:dyDescent="0.2">
      <c r="A134" s="637" t="s">
        <v>425</v>
      </c>
      <c r="B134" s="645" t="s">
        <v>426</v>
      </c>
      <c r="C134" s="908">
        <f t="shared" ref="C134:K134" si="51">SUM(C135:C136)</f>
        <v>0</v>
      </c>
      <c r="D134" s="908">
        <f t="shared" si="51"/>
        <v>0</v>
      </c>
      <c r="E134" s="908">
        <f t="shared" si="51"/>
        <v>4000</v>
      </c>
      <c r="F134" s="908">
        <f t="shared" si="51"/>
        <v>0</v>
      </c>
      <c r="G134" s="908">
        <f t="shared" si="51"/>
        <v>4000</v>
      </c>
      <c r="H134" s="908">
        <f t="shared" si="51"/>
        <v>0</v>
      </c>
      <c r="I134" s="908">
        <f t="shared" si="51"/>
        <v>4000</v>
      </c>
      <c r="J134" s="908">
        <f t="shared" si="51"/>
        <v>0</v>
      </c>
      <c r="K134" s="908">
        <f t="shared" si="51"/>
        <v>4000</v>
      </c>
      <c r="L134" s="908">
        <f>SUM(L132:L133)</f>
        <v>0</v>
      </c>
      <c r="M134" s="908">
        <v>4000</v>
      </c>
      <c r="N134" s="909"/>
      <c r="O134" s="635">
        <f t="shared" si="38"/>
        <v>4000</v>
      </c>
    </row>
    <row r="135" spans="1:15" s="641" customFormat="1" ht="18.95" customHeight="1" x14ac:dyDescent="0.2">
      <c r="A135" s="639"/>
      <c r="B135" s="553" t="s">
        <v>546</v>
      </c>
      <c r="C135" s="910">
        <v>0</v>
      </c>
      <c r="D135" s="910"/>
      <c r="E135" s="910">
        <f>C135+D135</f>
        <v>0</v>
      </c>
      <c r="F135" s="910"/>
      <c r="G135" s="910">
        <f>E135+F135</f>
        <v>0</v>
      </c>
      <c r="H135" s="910"/>
      <c r="I135" s="910">
        <f>G135+H135</f>
        <v>0</v>
      </c>
      <c r="J135" s="910"/>
      <c r="K135" s="910">
        <f>I135+J135</f>
        <v>0</v>
      </c>
      <c r="L135" s="905"/>
      <c r="M135" s="905"/>
      <c r="N135" s="906"/>
      <c r="O135" s="640">
        <f t="shared" si="38"/>
        <v>0</v>
      </c>
    </row>
    <row r="136" spans="1:15" s="641" customFormat="1" ht="18.95" customHeight="1" x14ac:dyDescent="0.2">
      <c r="A136" s="639"/>
      <c r="B136" s="553" t="s">
        <v>545</v>
      </c>
      <c r="C136" s="910">
        <v>0</v>
      </c>
      <c r="D136" s="910"/>
      <c r="E136" s="910">
        <v>4000</v>
      </c>
      <c r="F136" s="910">
        <v>0</v>
      </c>
      <c r="G136" s="910">
        <f>E136+F136</f>
        <v>4000</v>
      </c>
      <c r="H136" s="910"/>
      <c r="I136" s="910">
        <f>G136+H136</f>
        <v>4000</v>
      </c>
      <c r="J136" s="910"/>
      <c r="K136" s="910">
        <f>I136+J136</f>
        <v>4000</v>
      </c>
      <c r="L136" s="905"/>
      <c r="M136" s="905">
        <v>4000</v>
      </c>
      <c r="N136" s="906"/>
      <c r="O136" s="640">
        <f t="shared" si="38"/>
        <v>4000</v>
      </c>
    </row>
    <row r="137" spans="1:15" s="636" customFormat="1" ht="30" customHeight="1" x14ac:dyDescent="0.2">
      <c r="A137" s="637" t="s">
        <v>427</v>
      </c>
      <c r="B137" s="645" t="s">
        <v>428</v>
      </c>
      <c r="C137" s="908">
        <f t="shared" ref="C137:M137" si="52">C138</f>
        <v>0</v>
      </c>
      <c r="D137" s="908">
        <f t="shared" si="52"/>
        <v>0</v>
      </c>
      <c r="E137" s="908">
        <f t="shared" si="52"/>
        <v>0</v>
      </c>
      <c r="F137" s="1355">
        <f t="shared" si="52"/>
        <v>0</v>
      </c>
      <c r="G137" s="908">
        <f t="shared" si="52"/>
        <v>0</v>
      </c>
      <c r="H137" s="908">
        <f>H138</f>
        <v>0</v>
      </c>
      <c r="I137" s="908">
        <f>I138</f>
        <v>0</v>
      </c>
      <c r="J137" s="908">
        <f>J138</f>
        <v>0</v>
      </c>
      <c r="K137" s="908">
        <f>K138</f>
        <v>0</v>
      </c>
      <c r="L137" s="908">
        <f t="shared" si="52"/>
        <v>0</v>
      </c>
      <c r="M137" s="908">
        <f t="shared" si="52"/>
        <v>0</v>
      </c>
      <c r="N137" s="909"/>
      <c r="O137" s="635">
        <f t="shared" si="38"/>
        <v>0</v>
      </c>
    </row>
    <row r="138" spans="1:15" s="641" customFormat="1" ht="18.95" customHeight="1" thickBot="1" x14ac:dyDescent="0.25">
      <c r="A138" s="648"/>
      <c r="B138" s="663" t="s">
        <v>304</v>
      </c>
      <c r="C138" s="914">
        <v>0</v>
      </c>
      <c r="D138" s="914"/>
      <c r="E138" s="914">
        <f>C138+D138</f>
        <v>0</v>
      </c>
      <c r="F138" s="1359"/>
      <c r="G138" s="914">
        <f>E138+F138</f>
        <v>0</v>
      </c>
      <c r="H138" s="914"/>
      <c r="I138" s="914">
        <f>G138+H138</f>
        <v>0</v>
      </c>
      <c r="J138" s="914">
        <f>H138+I138</f>
        <v>0</v>
      </c>
      <c r="K138" s="914">
        <f>I138+J138</f>
        <v>0</v>
      </c>
      <c r="L138" s="915"/>
      <c r="M138" s="914">
        <v>0</v>
      </c>
      <c r="N138" s="916"/>
      <c r="O138" s="640">
        <f t="shared" ref="O138:O158" si="53">SUM(L138:N138)</f>
        <v>0</v>
      </c>
    </row>
    <row r="139" spans="1:15" s="636" customFormat="1" ht="35.1" customHeight="1" thickBot="1" x14ac:dyDescent="0.25">
      <c r="A139" s="631" t="s">
        <v>380</v>
      </c>
      <c r="B139" s="582" t="s">
        <v>390</v>
      </c>
      <c r="C139" s="917">
        <f t="shared" ref="C139:M139" si="54">C140</f>
        <v>600</v>
      </c>
      <c r="D139" s="917">
        <f t="shared" si="54"/>
        <v>0</v>
      </c>
      <c r="E139" s="917">
        <f t="shared" si="54"/>
        <v>1060</v>
      </c>
      <c r="F139" s="917">
        <f t="shared" si="54"/>
        <v>110</v>
      </c>
      <c r="G139" s="917">
        <f t="shared" si="54"/>
        <v>1170</v>
      </c>
      <c r="H139" s="917">
        <f>H140</f>
        <v>0</v>
      </c>
      <c r="I139" s="917">
        <f>I140</f>
        <v>735</v>
      </c>
      <c r="J139" s="917">
        <f>J140</f>
        <v>0</v>
      </c>
      <c r="K139" s="917">
        <f>K140</f>
        <v>735</v>
      </c>
      <c r="L139" s="917">
        <f t="shared" si="54"/>
        <v>0</v>
      </c>
      <c r="M139" s="917">
        <f t="shared" si="54"/>
        <v>735</v>
      </c>
      <c r="N139" s="918"/>
      <c r="O139" s="635">
        <f t="shared" si="53"/>
        <v>735</v>
      </c>
    </row>
    <row r="140" spans="1:15" s="636" customFormat="1" ht="30" customHeight="1" x14ac:dyDescent="0.2">
      <c r="A140" s="633" t="s">
        <v>439</v>
      </c>
      <c r="B140" s="634" t="s">
        <v>440</v>
      </c>
      <c r="C140" s="919">
        <f t="shared" ref="C140:M140" si="55">SUM(C141:C143)</f>
        <v>600</v>
      </c>
      <c r="D140" s="919">
        <f t="shared" si="55"/>
        <v>0</v>
      </c>
      <c r="E140" s="919">
        <f t="shared" si="55"/>
        <v>1060</v>
      </c>
      <c r="F140" s="919">
        <f t="shared" si="55"/>
        <v>110</v>
      </c>
      <c r="G140" s="919">
        <f t="shared" si="55"/>
        <v>1170</v>
      </c>
      <c r="H140" s="919">
        <f>SUM(H141:H143)</f>
        <v>0</v>
      </c>
      <c r="I140" s="919">
        <f>SUM(I141:I143)</f>
        <v>735</v>
      </c>
      <c r="J140" s="919">
        <f>SUM(J141:J143)</f>
        <v>0</v>
      </c>
      <c r="K140" s="919">
        <f>SUM(K141:K143)</f>
        <v>735</v>
      </c>
      <c r="L140" s="919">
        <f t="shared" si="55"/>
        <v>0</v>
      </c>
      <c r="M140" s="919">
        <f t="shared" si="55"/>
        <v>735</v>
      </c>
      <c r="N140" s="901"/>
      <c r="O140" s="635">
        <f t="shared" si="53"/>
        <v>735</v>
      </c>
    </row>
    <row r="141" spans="1:15" s="641" customFormat="1" ht="18.95" customHeight="1" x14ac:dyDescent="0.2">
      <c r="A141" s="639"/>
      <c r="B141" s="647" t="s">
        <v>544</v>
      </c>
      <c r="C141" s="910">
        <v>300</v>
      </c>
      <c r="D141" s="910"/>
      <c r="E141" s="910">
        <f>C141+D141</f>
        <v>300</v>
      </c>
      <c r="F141" s="910"/>
      <c r="G141" s="910">
        <f>E141+F141</f>
        <v>300</v>
      </c>
      <c r="H141" s="910"/>
      <c r="I141" s="910">
        <f>G141+H141</f>
        <v>300</v>
      </c>
      <c r="J141" s="910">
        <v>-300</v>
      </c>
      <c r="K141" s="910">
        <f>I141+J141</f>
        <v>0</v>
      </c>
      <c r="L141" s="905"/>
      <c r="M141" s="910">
        <v>0</v>
      </c>
      <c r="N141" s="906"/>
      <c r="O141" s="640">
        <f t="shared" si="53"/>
        <v>0</v>
      </c>
    </row>
    <row r="142" spans="1:15" s="641" customFormat="1" ht="34.5" customHeight="1" x14ac:dyDescent="0.2">
      <c r="A142" s="648"/>
      <c r="B142" s="663" t="s">
        <v>822</v>
      </c>
      <c r="C142" s="914">
        <v>300</v>
      </c>
      <c r="D142" s="914"/>
      <c r="E142" s="910">
        <v>380</v>
      </c>
      <c r="F142" s="914">
        <v>55</v>
      </c>
      <c r="G142" s="910">
        <f>E142+F142</f>
        <v>435</v>
      </c>
      <c r="H142" s="914"/>
      <c r="I142" s="914">
        <f>G142+H142</f>
        <v>435</v>
      </c>
      <c r="J142" s="914">
        <v>-200</v>
      </c>
      <c r="K142" s="910">
        <f>I142+J142</f>
        <v>235</v>
      </c>
      <c r="L142" s="915"/>
      <c r="M142" s="914">
        <v>235</v>
      </c>
      <c r="N142" s="916"/>
      <c r="O142" s="640"/>
    </row>
    <row r="143" spans="1:15" s="641" customFormat="1" ht="18.95" customHeight="1" thickBot="1" x14ac:dyDescent="0.25">
      <c r="A143" s="648"/>
      <c r="B143" s="663" t="s">
        <v>975</v>
      </c>
      <c r="C143" s="914"/>
      <c r="D143" s="914"/>
      <c r="E143" s="910">
        <v>380</v>
      </c>
      <c r="F143" s="914">
        <v>55</v>
      </c>
      <c r="G143" s="910">
        <f>E143+F143</f>
        <v>435</v>
      </c>
      <c r="H143" s="914"/>
      <c r="I143" s="914"/>
      <c r="J143" s="914">
        <v>500</v>
      </c>
      <c r="K143" s="910">
        <f>I143+J143</f>
        <v>500</v>
      </c>
      <c r="L143" s="915"/>
      <c r="M143" s="914">
        <v>500</v>
      </c>
      <c r="N143" s="916"/>
      <c r="O143" s="640">
        <f t="shared" si="53"/>
        <v>500</v>
      </c>
    </row>
    <row r="144" spans="1:15" s="636" customFormat="1" ht="35.1" customHeight="1" thickBot="1" x14ac:dyDescent="0.25">
      <c r="A144" s="631" t="s">
        <v>381</v>
      </c>
      <c r="B144" s="582" t="s">
        <v>391</v>
      </c>
      <c r="C144" s="917">
        <f t="shared" ref="C144:M144" si="56">C145+C149</f>
        <v>37350</v>
      </c>
      <c r="D144" s="917">
        <f t="shared" si="56"/>
        <v>0</v>
      </c>
      <c r="E144" s="917">
        <f t="shared" si="56"/>
        <v>37450</v>
      </c>
      <c r="F144" s="917">
        <f t="shared" si="56"/>
        <v>200</v>
      </c>
      <c r="G144" s="917">
        <f t="shared" si="56"/>
        <v>37650</v>
      </c>
      <c r="H144" s="917">
        <f>H145+H149</f>
        <v>0</v>
      </c>
      <c r="I144" s="917">
        <f>I145+I149</f>
        <v>37650</v>
      </c>
      <c r="J144" s="917">
        <f>J145+J149</f>
        <v>1039</v>
      </c>
      <c r="K144" s="917">
        <f>K145+K149</f>
        <v>38689</v>
      </c>
      <c r="L144" s="917">
        <f t="shared" si="56"/>
        <v>0</v>
      </c>
      <c r="M144" s="917">
        <f t="shared" si="56"/>
        <v>38689</v>
      </c>
      <c r="N144" s="918"/>
      <c r="O144" s="635">
        <f t="shared" si="53"/>
        <v>38689</v>
      </c>
    </row>
    <row r="145" spans="1:15" s="636" customFormat="1" ht="37.5" customHeight="1" x14ac:dyDescent="0.2">
      <c r="A145" s="633" t="s">
        <v>441</v>
      </c>
      <c r="B145" s="664" t="s">
        <v>442</v>
      </c>
      <c r="C145" s="919">
        <f t="shared" ref="C145:K145" si="57">SUM(C146:C148)</f>
        <v>4350</v>
      </c>
      <c r="D145" s="919">
        <f t="shared" si="57"/>
        <v>0</v>
      </c>
      <c r="E145" s="919">
        <f t="shared" si="57"/>
        <v>4450</v>
      </c>
      <c r="F145" s="919">
        <f t="shared" si="57"/>
        <v>200</v>
      </c>
      <c r="G145" s="919">
        <f t="shared" si="57"/>
        <v>4650</v>
      </c>
      <c r="H145" s="919">
        <f t="shared" si="57"/>
        <v>0</v>
      </c>
      <c r="I145" s="919">
        <f t="shared" si="57"/>
        <v>4650</v>
      </c>
      <c r="J145" s="1552">
        <f t="shared" si="57"/>
        <v>200</v>
      </c>
      <c r="K145" s="919">
        <f t="shared" si="57"/>
        <v>4850</v>
      </c>
      <c r="L145" s="931"/>
      <c r="M145" s="919">
        <f>SUM(M146:M148)</f>
        <v>4850</v>
      </c>
      <c r="N145" s="901"/>
      <c r="O145" s="635">
        <f t="shared" si="53"/>
        <v>4850</v>
      </c>
    </row>
    <row r="146" spans="1:15" s="641" customFormat="1" ht="18.95" customHeight="1" x14ac:dyDescent="0.2">
      <c r="A146" s="639"/>
      <c r="B146" s="647" t="s">
        <v>541</v>
      </c>
      <c r="C146" s="910">
        <v>3400</v>
      </c>
      <c r="D146" s="910"/>
      <c r="E146" s="910">
        <f>C146+D146</f>
        <v>3400</v>
      </c>
      <c r="F146" s="910">
        <v>200</v>
      </c>
      <c r="G146" s="910">
        <f>E146+F146</f>
        <v>3600</v>
      </c>
      <c r="H146" s="910"/>
      <c r="I146" s="910">
        <f>G146+H146</f>
        <v>3600</v>
      </c>
      <c r="J146" s="1543"/>
      <c r="K146" s="910">
        <f>I146+J146</f>
        <v>3600</v>
      </c>
      <c r="L146" s="905"/>
      <c r="M146" s="910">
        <v>3600</v>
      </c>
      <c r="N146" s="906"/>
      <c r="O146" s="640">
        <f t="shared" si="53"/>
        <v>3600</v>
      </c>
    </row>
    <row r="147" spans="1:15" s="641" customFormat="1" ht="18.95" customHeight="1" x14ac:dyDescent="0.2">
      <c r="A147" s="639"/>
      <c r="B147" s="647" t="s">
        <v>542</v>
      </c>
      <c r="C147" s="910">
        <v>950</v>
      </c>
      <c r="D147" s="910"/>
      <c r="E147" s="910">
        <v>1050</v>
      </c>
      <c r="F147" s="910">
        <v>0</v>
      </c>
      <c r="G147" s="910">
        <f>E147+F147</f>
        <v>1050</v>
      </c>
      <c r="H147" s="910"/>
      <c r="I147" s="910">
        <f>G147+H147</f>
        <v>1050</v>
      </c>
      <c r="J147" s="1543">
        <v>200</v>
      </c>
      <c r="K147" s="910">
        <f>I147+J147</f>
        <v>1250</v>
      </c>
      <c r="L147" s="905"/>
      <c r="M147" s="910">
        <v>1250</v>
      </c>
      <c r="N147" s="906"/>
      <c r="O147" s="640">
        <f t="shared" si="53"/>
        <v>1250</v>
      </c>
    </row>
    <row r="148" spans="1:15" s="641" customFormat="1" ht="18.95" customHeight="1" x14ac:dyDescent="0.2">
      <c r="A148" s="639"/>
      <c r="B148" s="665" t="s">
        <v>543</v>
      </c>
      <c r="C148" s="910">
        <v>0</v>
      </c>
      <c r="D148" s="910"/>
      <c r="E148" s="910">
        <f>C148+D148</f>
        <v>0</v>
      </c>
      <c r="F148" s="1354"/>
      <c r="G148" s="910">
        <f>E148+F148</f>
        <v>0</v>
      </c>
      <c r="H148" s="910"/>
      <c r="I148" s="910">
        <f>G148+H148</f>
        <v>0</v>
      </c>
      <c r="J148" s="1543"/>
      <c r="K148" s="910">
        <f>I148+J148</f>
        <v>0</v>
      </c>
      <c r="L148" s="905"/>
      <c r="M148" s="910">
        <v>0</v>
      </c>
      <c r="N148" s="906"/>
      <c r="O148" s="640">
        <f t="shared" si="53"/>
        <v>0</v>
      </c>
    </row>
    <row r="149" spans="1:15" s="583" customFormat="1" ht="30" customHeight="1" x14ac:dyDescent="0.25">
      <c r="A149" s="637" t="s">
        <v>583</v>
      </c>
      <c r="B149" s="666" t="s">
        <v>584</v>
      </c>
      <c r="C149" s="908">
        <f>SUM(C150:C151)</f>
        <v>33000</v>
      </c>
      <c r="D149" s="908">
        <f>SUM(D150:D151)</f>
        <v>0</v>
      </c>
      <c r="E149" s="908">
        <f t="shared" ref="E149:K149" si="58">SUM(E150:E152)</f>
        <v>33000</v>
      </c>
      <c r="F149" s="1355">
        <f t="shared" si="58"/>
        <v>0</v>
      </c>
      <c r="G149" s="908">
        <f t="shared" si="58"/>
        <v>33000</v>
      </c>
      <c r="H149" s="908">
        <f t="shared" si="58"/>
        <v>0</v>
      </c>
      <c r="I149" s="908">
        <f t="shared" si="58"/>
        <v>33000</v>
      </c>
      <c r="J149" s="1543">
        <f>SUM(J150:J152)</f>
        <v>839</v>
      </c>
      <c r="K149" s="908">
        <f t="shared" si="58"/>
        <v>33839</v>
      </c>
      <c r="L149" s="908">
        <f>SUM(L150:L151)</f>
        <v>0</v>
      </c>
      <c r="M149" s="908">
        <f>SUM(M150:M152)</f>
        <v>33839</v>
      </c>
      <c r="N149" s="909"/>
      <c r="O149" s="635">
        <f t="shared" si="53"/>
        <v>33839</v>
      </c>
    </row>
    <row r="150" spans="1:15" s="544" customFormat="1" ht="18.95" customHeight="1" x14ac:dyDescent="0.25">
      <c r="A150" s="639"/>
      <c r="B150" s="646" t="s">
        <v>476</v>
      </c>
      <c r="C150" s="910">
        <v>30000</v>
      </c>
      <c r="D150" s="910"/>
      <c r="E150" s="910">
        <v>28982</v>
      </c>
      <c r="F150" s="910"/>
      <c r="G150" s="910">
        <f>E150+F150</f>
        <v>28982</v>
      </c>
      <c r="H150" s="910"/>
      <c r="I150" s="910">
        <f>G150+H150</f>
        <v>28982</v>
      </c>
      <c r="J150" s="1543"/>
      <c r="K150" s="910">
        <f>I150+J150</f>
        <v>28982</v>
      </c>
      <c r="L150" s="905"/>
      <c r="M150" s="910">
        <v>28982</v>
      </c>
      <c r="N150" s="906"/>
      <c r="O150" s="640">
        <f t="shared" si="53"/>
        <v>28982</v>
      </c>
    </row>
    <row r="151" spans="1:15" s="544" customFormat="1" ht="18.95" customHeight="1" x14ac:dyDescent="0.25">
      <c r="A151" s="648"/>
      <c r="B151" s="663" t="s">
        <v>477</v>
      </c>
      <c r="C151" s="910">
        <v>3000</v>
      </c>
      <c r="D151" s="910"/>
      <c r="E151" s="910">
        <v>0</v>
      </c>
      <c r="F151" s="910"/>
      <c r="G151" s="910">
        <f>E151+F151</f>
        <v>0</v>
      </c>
      <c r="H151" s="910"/>
      <c r="I151" s="910">
        <f>G151+H151</f>
        <v>0</v>
      </c>
      <c r="J151" s="1543">
        <v>839</v>
      </c>
      <c r="K151" s="910">
        <f>I151+J151</f>
        <v>839</v>
      </c>
      <c r="L151" s="905"/>
      <c r="M151" s="904">
        <v>839</v>
      </c>
      <c r="N151" s="906"/>
      <c r="O151" s="640">
        <f t="shared" si="53"/>
        <v>839</v>
      </c>
    </row>
    <row r="152" spans="1:15" s="544" customFormat="1" ht="18.95" customHeight="1" thickBot="1" x14ac:dyDescent="0.3">
      <c r="A152" s="659"/>
      <c r="B152" s="1149" t="s">
        <v>915</v>
      </c>
      <c r="C152" s="1382"/>
      <c r="D152" s="1382"/>
      <c r="E152" s="1382">
        <v>4018</v>
      </c>
      <c r="F152" s="1382">
        <v>0</v>
      </c>
      <c r="G152" s="1382">
        <f>E152+F152</f>
        <v>4018</v>
      </c>
      <c r="H152" s="1382"/>
      <c r="I152" s="1382">
        <f>G152+H152</f>
        <v>4018</v>
      </c>
      <c r="J152" s="1382"/>
      <c r="K152" s="910">
        <f>I152+J152</f>
        <v>4018</v>
      </c>
      <c r="L152" s="1383"/>
      <c r="M152" s="1382">
        <v>4018</v>
      </c>
      <c r="N152" s="1384"/>
      <c r="O152" s="640">
        <f t="shared" si="53"/>
        <v>4018</v>
      </c>
    </row>
    <row r="153" spans="1:15" s="583" customFormat="1" ht="35.1" customHeight="1" thickBot="1" x14ac:dyDescent="0.3">
      <c r="A153" s="631" t="s">
        <v>382</v>
      </c>
      <c r="B153" s="651" t="s">
        <v>122</v>
      </c>
      <c r="C153" s="917">
        <f t="shared" ref="C153:L153" si="59">C154+C155+C156</f>
        <v>1314345</v>
      </c>
      <c r="D153" s="917">
        <f t="shared" si="59"/>
        <v>106692</v>
      </c>
      <c r="E153" s="917">
        <f t="shared" si="59"/>
        <v>2215778</v>
      </c>
      <c r="F153" s="917">
        <f t="shared" si="59"/>
        <v>880000</v>
      </c>
      <c r="G153" s="917">
        <f t="shared" si="59"/>
        <v>3095778</v>
      </c>
      <c r="H153" s="917">
        <f>H154+H155+H156</f>
        <v>0</v>
      </c>
      <c r="I153" s="917">
        <f>I154+I155+I156</f>
        <v>3095778</v>
      </c>
      <c r="J153" s="917">
        <f>J154+J155+J156</f>
        <v>0</v>
      </c>
      <c r="K153" s="917">
        <f>K154+K155+K156</f>
        <v>3095778</v>
      </c>
      <c r="L153" s="917">
        <f t="shared" si="59"/>
        <v>3095778</v>
      </c>
      <c r="M153" s="917">
        <f>M154+M155</f>
        <v>0</v>
      </c>
      <c r="N153" s="918"/>
      <c r="O153" s="635">
        <f t="shared" si="53"/>
        <v>3095778</v>
      </c>
    </row>
    <row r="154" spans="1:15" s="636" customFormat="1" ht="30" customHeight="1" x14ac:dyDescent="0.2">
      <c r="A154" s="633" t="s">
        <v>445</v>
      </c>
      <c r="B154" s="649" t="s">
        <v>446</v>
      </c>
      <c r="C154" s="919">
        <v>130000</v>
      </c>
      <c r="D154" s="919"/>
      <c r="E154" s="919">
        <f>C154+D154</f>
        <v>130000</v>
      </c>
      <c r="F154" s="919"/>
      <c r="G154" s="919">
        <f>E154+F154</f>
        <v>130000</v>
      </c>
      <c r="H154" s="919"/>
      <c r="I154" s="919">
        <f>G154+H154</f>
        <v>130000</v>
      </c>
      <c r="J154" s="919"/>
      <c r="K154" s="919">
        <f>I154+J154</f>
        <v>130000</v>
      </c>
      <c r="L154" s="919">
        <v>130000</v>
      </c>
      <c r="M154" s="931"/>
      <c r="N154" s="901"/>
      <c r="O154" s="635">
        <f t="shared" si="53"/>
        <v>130000</v>
      </c>
    </row>
    <row r="155" spans="1:15" s="636" customFormat="1" ht="30" customHeight="1" x14ac:dyDescent="0.2">
      <c r="A155" s="637" t="s">
        <v>443</v>
      </c>
      <c r="B155" s="645" t="s">
        <v>444</v>
      </c>
      <c r="C155" s="908">
        <f>489345</f>
        <v>489345</v>
      </c>
      <c r="D155" s="908"/>
      <c r="E155" s="919">
        <v>1284086</v>
      </c>
      <c r="F155" s="919">
        <f>80000+800000</f>
        <v>880000</v>
      </c>
      <c r="G155" s="919">
        <f>E155+F155</f>
        <v>2164086</v>
      </c>
      <c r="H155" s="919"/>
      <c r="I155" s="919">
        <f>G155+H155</f>
        <v>2164086</v>
      </c>
      <c r="J155" s="919"/>
      <c r="K155" s="919">
        <f>I155+J155</f>
        <v>2164086</v>
      </c>
      <c r="L155" s="908">
        <v>2164086</v>
      </c>
      <c r="M155" s="913"/>
      <c r="N155" s="909"/>
      <c r="O155" s="635">
        <f t="shared" si="53"/>
        <v>2164086</v>
      </c>
    </row>
    <row r="156" spans="1:15" s="636" customFormat="1" ht="30" customHeight="1" x14ac:dyDescent="0.2">
      <c r="A156" s="637" t="s">
        <v>447</v>
      </c>
      <c r="B156" s="645" t="s">
        <v>448</v>
      </c>
      <c r="C156" s="908">
        <f t="shared" ref="C156:M156" si="60">C157+C158</f>
        <v>695000</v>
      </c>
      <c r="D156" s="908">
        <f t="shared" si="60"/>
        <v>106692</v>
      </c>
      <c r="E156" s="908">
        <f t="shared" si="60"/>
        <v>801692</v>
      </c>
      <c r="F156" s="1355">
        <f t="shared" si="60"/>
        <v>0</v>
      </c>
      <c r="G156" s="908">
        <f t="shared" si="60"/>
        <v>801692</v>
      </c>
      <c r="H156" s="908">
        <f>H157+H158</f>
        <v>0</v>
      </c>
      <c r="I156" s="908">
        <f>I157+I158</f>
        <v>801692</v>
      </c>
      <c r="J156" s="908">
        <f>J157+J158</f>
        <v>0</v>
      </c>
      <c r="K156" s="919">
        <f>I156+J156</f>
        <v>801692</v>
      </c>
      <c r="L156" s="908">
        <f t="shared" si="60"/>
        <v>801692</v>
      </c>
      <c r="M156" s="908">
        <f t="shared" si="60"/>
        <v>0</v>
      </c>
      <c r="N156" s="909"/>
      <c r="O156" s="635">
        <f t="shared" si="53"/>
        <v>801692</v>
      </c>
    </row>
    <row r="157" spans="1:15" s="641" customFormat="1" ht="18.95" customHeight="1" x14ac:dyDescent="0.2">
      <c r="A157" s="639"/>
      <c r="B157" s="647" t="s">
        <v>539</v>
      </c>
      <c r="C157" s="910">
        <v>25000</v>
      </c>
      <c r="D157" s="910">
        <f>43875-5290+35577</f>
        <v>74162</v>
      </c>
      <c r="E157" s="910">
        <f>C157+D157</f>
        <v>99162</v>
      </c>
      <c r="F157" s="1354"/>
      <c r="G157" s="910">
        <f>E157+F157</f>
        <v>99162</v>
      </c>
      <c r="H157" s="910"/>
      <c r="I157" s="910">
        <f>G157+H157</f>
        <v>99162</v>
      </c>
      <c r="J157" s="910"/>
      <c r="K157" s="910">
        <f>I157+J157</f>
        <v>99162</v>
      </c>
      <c r="L157" s="910">
        <f>25000+D157</f>
        <v>99162</v>
      </c>
      <c r="M157" s="910"/>
      <c r="N157" s="906"/>
      <c r="O157" s="640">
        <f t="shared" si="53"/>
        <v>99162</v>
      </c>
    </row>
    <row r="158" spans="1:15" s="668" customFormat="1" ht="18.95" customHeight="1" thickBot="1" x14ac:dyDescent="0.25">
      <c r="A158" s="648"/>
      <c r="B158" s="667" t="s">
        <v>540</v>
      </c>
      <c r="C158" s="914">
        <f>300000+370000</f>
        <v>670000</v>
      </c>
      <c r="D158" s="914">
        <f>27240+5290</f>
        <v>32530</v>
      </c>
      <c r="E158" s="910">
        <f>C158+D158</f>
        <v>702530</v>
      </c>
      <c r="F158" s="1359"/>
      <c r="G158" s="910">
        <f>E158+F158</f>
        <v>702530</v>
      </c>
      <c r="H158" s="914"/>
      <c r="I158" s="914">
        <f>G158+H158</f>
        <v>702530</v>
      </c>
      <c r="J158" s="914"/>
      <c r="K158" s="910">
        <f>I158+J158</f>
        <v>702530</v>
      </c>
      <c r="L158" s="914">
        <f>300000+370000+D158</f>
        <v>702530</v>
      </c>
      <c r="M158" s="914"/>
      <c r="N158" s="916"/>
      <c r="O158" s="640">
        <f t="shared" si="53"/>
        <v>702530</v>
      </c>
    </row>
    <row r="159" spans="1:15" s="671" customFormat="1" ht="35.1" customHeight="1" thickBot="1" x14ac:dyDescent="0.25">
      <c r="A159" s="669" t="s">
        <v>2</v>
      </c>
      <c r="B159" s="670"/>
      <c r="C159" s="898">
        <f>C3+C68+C83+C97+C128+C139+C144+C153+C69</f>
        <v>4251444</v>
      </c>
      <c r="D159" s="898">
        <f>D3+D68+D83+D97+D128+D139+D144+D153</f>
        <v>636640</v>
      </c>
      <c r="E159" s="898">
        <f>E3+E68+E83+E97+E128+E139+E144+E153+E69</f>
        <v>5864828</v>
      </c>
      <c r="F159" s="898">
        <f>F3+F83+F97+F128+F139+F144+F153+F69</f>
        <v>978050</v>
      </c>
      <c r="G159" s="898">
        <f t="shared" ref="G159:J159" si="61">G3+G69+G83+G97+G128+G139+G144+G153</f>
        <v>6842878</v>
      </c>
      <c r="H159" s="898">
        <f t="shared" si="61"/>
        <v>39369</v>
      </c>
      <c r="I159" s="898">
        <f t="shared" si="61"/>
        <v>6881812</v>
      </c>
      <c r="J159" s="898">
        <f t="shared" si="61"/>
        <v>240864</v>
      </c>
      <c r="K159" s="898">
        <f>K3+K69+K83+K97+K128+K139+K144+K153</f>
        <v>7122676</v>
      </c>
      <c r="L159" s="898">
        <f>L3+L69+L83+L97+L128+L139+L144+L153</f>
        <v>5768380</v>
      </c>
      <c r="M159" s="898">
        <f>M3+M69+M83+M97+M128+M139+M144+M153</f>
        <v>1354296</v>
      </c>
      <c r="N159" s="899">
        <f>N3+N68+N83+N97+N128+N139+N144+N153</f>
        <v>0</v>
      </c>
      <c r="O159" s="635">
        <f>SUM(L159:N159)</f>
        <v>7122676</v>
      </c>
    </row>
    <row r="160" spans="1:15" s="673" customFormat="1" ht="20.100000000000001" customHeight="1" x14ac:dyDescent="0.3">
      <c r="A160" s="672"/>
      <c r="B160" s="672"/>
      <c r="F160" s="1360"/>
    </row>
    <row r="161" spans="1:12" s="672" customFormat="1" ht="20.100000000000001" customHeight="1" x14ac:dyDescent="0.2">
      <c r="D161" s="674">
        <f>D159-'8'!D198</f>
        <v>-48259</v>
      </c>
      <c r="E161" s="674" t="s">
        <v>99</v>
      </c>
      <c r="F161" s="1361"/>
      <c r="G161" s="674"/>
      <c r="H161" s="674"/>
      <c r="I161" s="674"/>
      <c r="J161" s="674"/>
      <c r="K161" s="674"/>
      <c r="L161" s="674"/>
    </row>
    <row r="162" spans="1:12" s="675" customFormat="1" ht="20.100000000000001" customHeight="1" x14ac:dyDescent="0.2">
      <c r="D162" s="675">
        <f>1195152-489345+60308</f>
        <v>766115</v>
      </c>
      <c r="F162" s="1362"/>
      <c r="K162" s="1567">
        <f>'7'!M184+'9'!K93-'4'!M160-'4'!M161-'4'!M163-'4'!M165-'4'!M168-'6'!M3-'6'!M5-'6'!M10-'6'!M22-'6'!M25</f>
        <v>2003543</v>
      </c>
    </row>
    <row r="163" spans="1:12" s="672" customFormat="1" ht="20.100000000000001" customHeight="1" x14ac:dyDescent="0.2">
      <c r="D163" s="674">
        <f>E156-D162</f>
        <v>35577</v>
      </c>
      <c r="F163" s="1363"/>
    </row>
    <row r="164" spans="1:12" s="672" customFormat="1" ht="20.100000000000001" customHeight="1" x14ac:dyDescent="0.2">
      <c r="F164" s="1363"/>
    </row>
    <row r="165" spans="1:12" s="672" customFormat="1" ht="23.1" customHeight="1" x14ac:dyDescent="0.2">
      <c r="F165" s="1363"/>
    </row>
    <row r="166" spans="1:12" s="675" customFormat="1" ht="20.100000000000001" customHeight="1" x14ac:dyDescent="0.2">
      <c r="F166" s="1362"/>
    </row>
    <row r="167" spans="1:12" s="676" customFormat="1" ht="20.100000000000001" customHeight="1" x14ac:dyDescent="0.2">
      <c r="F167" s="1364"/>
    </row>
    <row r="168" spans="1:12" s="675" customFormat="1" ht="20.100000000000001" customHeight="1" x14ac:dyDescent="0.2">
      <c r="F168" s="1362"/>
    </row>
    <row r="169" spans="1:12" s="673" customFormat="1" ht="24.95" customHeight="1" x14ac:dyDescent="0.3">
      <c r="A169" s="672"/>
      <c r="B169" s="672"/>
      <c r="F169" s="1360"/>
    </row>
    <row r="170" spans="1:12" s="673" customFormat="1" x14ac:dyDescent="0.3">
      <c r="A170" s="672"/>
      <c r="B170" s="672"/>
      <c r="F170" s="1360"/>
    </row>
    <row r="171" spans="1:12" s="673" customFormat="1" x14ac:dyDescent="0.3">
      <c r="A171" s="672"/>
      <c r="B171" s="672"/>
      <c r="F171" s="1360"/>
    </row>
    <row r="172" spans="1:12" s="673" customFormat="1" x14ac:dyDescent="0.3">
      <c r="A172" s="672"/>
      <c r="B172" s="672"/>
      <c r="F172" s="1360"/>
    </row>
    <row r="173" spans="1:12" s="673" customFormat="1" x14ac:dyDescent="0.3">
      <c r="A173" s="672"/>
      <c r="B173" s="672"/>
      <c r="F173" s="1360"/>
    </row>
    <row r="174" spans="1:12" s="673" customFormat="1" x14ac:dyDescent="0.3">
      <c r="A174" s="672"/>
      <c r="B174" s="672"/>
      <c r="F174" s="1360"/>
    </row>
    <row r="175" spans="1:12" s="673" customFormat="1" x14ac:dyDescent="0.3">
      <c r="A175" s="672"/>
      <c r="B175" s="672"/>
      <c r="F175" s="1360"/>
    </row>
    <row r="176" spans="1:12" s="673" customFormat="1" x14ac:dyDescent="0.3">
      <c r="A176" s="672"/>
      <c r="B176" s="672"/>
      <c r="F176" s="1360"/>
    </row>
    <row r="177" spans="1:6" s="673" customFormat="1" x14ac:dyDescent="0.3">
      <c r="A177" s="672"/>
      <c r="B177" s="672"/>
      <c r="F177" s="1360"/>
    </row>
    <row r="178" spans="1:6" s="673" customFormat="1" x14ac:dyDescent="0.3">
      <c r="A178" s="672"/>
      <c r="B178" s="672"/>
      <c r="F178" s="1360"/>
    </row>
    <row r="179" spans="1:6" s="673" customFormat="1" x14ac:dyDescent="0.3">
      <c r="A179" s="672"/>
      <c r="B179" s="672"/>
      <c r="F179" s="1360"/>
    </row>
    <row r="180" spans="1:6" s="673" customFormat="1" x14ac:dyDescent="0.3">
      <c r="A180" s="672"/>
      <c r="B180" s="672"/>
      <c r="F180" s="1360"/>
    </row>
    <row r="181" spans="1:6" s="673" customFormat="1" x14ac:dyDescent="0.3">
      <c r="A181" s="672"/>
      <c r="B181" s="672"/>
      <c r="F181" s="1360"/>
    </row>
    <row r="182" spans="1:6" s="673" customFormat="1" x14ac:dyDescent="0.3">
      <c r="A182" s="672"/>
      <c r="B182" s="672"/>
      <c r="F182" s="1360"/>
    </row>
    <row r="183" spans="1:6" s="673" customFormat="1" x14ac:dyDescent="0.3">
      <c r="A183" s="672"/>
      <c r="B183" s="672"/>
      <c r="F183" s="1360"/>
    </row>
    <row r="184" spans="1:6" s="673" customFormat="1" x14ac:dyDescent="0.3">
      <c r="A184" s="672"/>
      <c r="B184" s="672"/>
      <c r="F184" s="1360"/>
    </row>
    <row r="185" spans="1:6" s="673" customFormat="1" x14ac:dyDescent="0.3">
      <c r="A185" s="672"/>
      <c r="B185" s="672"/>
      <c r="F185" s="1360"/>
    </row>
    <row r="186" spans="1:6" s="673" customFormat="1" x14ac:dyDescent="0.3">
      <c r="A186" s="672"/>
      <c r="B186" s="672"/>
      <c r="F186" s="1360"/>
    </row>
    <row r="187" spans="1:6" s="673" customFormat="1" x14ac:dyDescent="0.3">
      <c r="A187" s="672"/>
      <c r="B187" s="672"/>
      <c r="F187" s="1360"/>
    </row>
    <row r="188" spans="1:6" s="673" customFormat="1" x14ac:dyDescent="0.3">
      <c r="A188" s="672"/>
      <c r="B188" s="672"/>
      <c r="F188" s="1360"/>
    </row>
    <row r="189" spans="1:6" s="673" customFormat="1" x14ac:dyDescent="0.3">
      <c r="A189" s="672"/>
      <c r="B189" s="672"/>
      <c r="F189" s="1360"/>
    </row>
    <row r="190" spans="1:6" s="673" customFormat="1" x14ac:dyDescent="0.3">
      <c r="A190" s="672"/>
      <c r="B190" s="672"/>
      <c r="F190" s="1360"/>
    </row>
    <row r="191" spans="1:6" s="673" customFormat="1" x14ac:dyDescent="0.3">
      <c r="A191" s="672"/>
      <c r="B191" s="672"/>
      <c r="F191" s="1360"/>
    </row>
    <row r="192" spans="1:6" s="673" customFormat="1" x14ac:dyDescent="0.3">
      <c r="A192" s="672"/>
      <c r="B192" s="672"/>
      <c r="F192" s="1360"/>
    </row>
    <row r="193" spans="1:6" s="673" customFormat="1" x14ac:dyDescent="0.3">
      <c r="A193" s="672"/>
      <c r="B193" s="672"/>
      <c r="F193" s="1360"/>
    </row>
    <row r="194" spans="1:6" s="673" customFormat="1" x14ac:dyDescent="0.3">
      <c r="A194" s="672"/>
      <c r="B194" s="672"/>
      <c r="F194" s="1360"/>
    </row>
    <row r="195" spans="1:6" s="673" customFormat="1" x14ac:dyDescent="0.3">
      <c r="A195" s="672"/>
      <c r="B195" s="672"/>
      <c r="F195" s="1360"/>
    </row>
    <row r="196" spans="1:6" s="673" customFormat="1" x14ac:dyDescent="0.3">
      <c r="A196" s="672"/>
      <c r="B196" s="672"/>
      <c r="F196" s="1360"/>
    </row>
    <row r="197" spans="1:6" s="673" customFormat="1" x14ac:dyDescent="0.3">
      <c r="A197" s="672"/>
      <c r="B197" s="672"/>
      <c r="F197" s="1360"/>
    </row>
    <row r="198" spans="1:6" s="673" customFormat="1" x14ac:dyDescent="0.3">
      <c r="A198" s="672"/>
      <c r="B198" s="672"/>
      <c r="F198" s="1360"/>
    </row>
    <row r="199" spans="1:6" s="673" customFormat="1" x14ac:dyDescent="0.3">
      <c r="A199" s="672"/>
      <c r="B199" s="672"/>
      <c r="F199" s="1360"/>
    </row>
    <row r="200" spans="1:6" s="673" customFormat="1" x14ac:dyDescent="0.3">
      <c r="A200" s="672"/>
      <c r="B200" s="672"/>
      <c r="F200" s="1360"/>
    </row>
    <row r="201" spans="1:6" s="673" customFormat="1" x14ac:dyDescent="0.3">
      <c r="A201" s="672"/>
      <c r="B201" s="672"/>
      <c r="F201" s="1360"/>
    </row>
    <row r="202" spans="1:6" s="673" customFormat="1" x14ac:dyDescent="0.3">
      <c r="A202" s="672"/>
      <c r="B202" s="672"/>
      <c r="F202" s="1360"/>
    </row>
    <row r="203" spans="1:6" s="673" customFormat="1" x14ac:dyDescent="0.3">
      <c r="A203" s="672"/>
      <c r="B203" s="672"/>
      <c r="F203" s="1360"/>
    </row>
    <row r="204" spans="1:6" s="673" customFormat="1" x14ac:dyDescent="0.3">
      <c r="A204" s="672"/>
      <c r="B204" s="672"/>
      <c r="F204" s="1360"/>
    </row>
    <row r="205" spans="1:6" s="673" customFormat="1" x14ac:dyDescent="0.3">
      <c r="A205" s="672"/>
      <c r="B205" s="672"/>
      <c r="F205" s="1360"/>
    </row>
    <row r="206" spans="1:6" s="673" customFormat="1" x14ac:dyDescent="0.3">
      <c r="A206" s="672"/>
      <c r="B206" s="672"/>
      <c r="F206" s="1360"/>
    </row>
    <row r="207" spans="1:6" s="673" customFormat="1" x14ac:dyDescent="0.3">
      <c r="A207" s="672"/>
      <c r="B207" s="672"/>
      <c r="F207" s="1360"/>
    </row>
    <row r="208" spans="1:6" s="673" customFormat="1" x14ac:dyDescent="0.3">
      <c r="A208" s="672"/>
      <c r="B208" s="672"/>
      <c r="F208" s="1360"/>
    </row>
    <row r="209" spans="1:14" s="673" customFormat="1" x14ac:dyDescent="0.3">
      <c r="A209" s="677"/>
      <c r="B209" s="678"/>
      <c r="C209" s="679"/>
      <c r="D209" s="679"/>
      <c r="E209" s="679"/>
      <c r="F209" s="1365"/>
      <c r="G209" s="679"/>
      <c r="H209" s="679"/>
      <c r="I209" s="679"/>
      <c r="J209" s="679"/>
      <c r="K209" s="679"/>
      <c r="L209" s="680"/>
      <c r="M209" s="681"/>
      <c r="N209" s="680"/>
    </row>
    <row r="210" spans="1:14" s="673" customFormat="1" x14ac:dyDescent="0.3">
      <c r="A210" s="677"/>
      <c r="B210" s="678"/>
      <c r="C210" s="679"/>
      <c r="D210" s="679"/>
      <c r="E210" s="679"/>
      <c r="F210" s="1365"/>
      <c r="G210" s="679"/>
      <c r="H210" s="679"/>
      <c r="I210" s="679"/>
      <c r="J210" s="679"/>
      <c r="K210" s="679"/>
      <c r="L210" s="680"/>
      <c r="M210" s="681"/>
      <c r="N210" s="680"/>
    </row>
    <row r="211" spans="1:14" s="673" customFormat="1" x14ac:dyDescent="0.3">
      <c r="A211" s="677"/>
      <c r="B211" s="678"/>
      <c r="C211" s="679"/>
      <c r="D211" s="679"/>
      <c r="E211" s="679"/>
      <c r="F211" s="1365"/>
      <c r="G211" s="679"/>
      <c r="H211" s="679"/>
      <c r="I211" s="679"/>
      <c r="J211" s="679"/>
      <c r="K211" s="679"/>
      <c r="L211" s="680"/>
      <c r="M211" s="681"/>
      <c r="N211" s="680"/>
    </row>
    <row r="212" spans="1:14" s="673" customFormat="1" x14ac:dyDescent="0.3">
      <c r="A212" s="677"/>
      <c r="B212" s="678"/>
      <c r="C212" s="679"/>
      <c r="D212" s="679"/>
      <c r="E212" s="679"/>
      <c r="F212" s="1365"/>
      <c r="G212" s="679"/>
      <c r="H212" s="679"/>
      <c r="I212" s="679"/>
      <c r="J212" s="679"/>
      <c r="K212" s="679"/>
      <c r="L212" s="680"/>
      <c r="M212" s="681"/>
      <c r="N212" s="680"/>
    </row>
    <row r="213" spans="1:14" s="673" customFormat="1" x14ac:dyDescent="0.3">
      <c r="A213" s="677"/>
      <c r="B213" s="678"/>
      <c r="C213" s="679"/>
      <c r="D213" s="679"/>
      <c r="E213" s="679"/>
      <c r="F213" s="1365"/>
      <c r="G213" s="679"/>
      <c r="H213" s="679"/>
      <c r="I213" s="679"/>
      <c r="J213" s="679"/>
      <c r="K213" s="679"/>
      <c r="L213" s="680"/>
      <c r="M213" s="681"/>
      <c r="N213" s="680"/>
    </row>
    <row r="214" spans="1:14" s="673" customFormat="1" x14ac:dyDescent="0.3">
      <c r="A214" s="677"/>
      <c r="B214" s="678"/>
      <c r="C214" s="679"/>
      <c r="D214" s="679"/>
      <c r="E214" s="679"/>
      <c r="F214" s="1365"/>
      <c r="G214" s="679"/>
      <c r="H214" s="679"/>
      <c r="I214" s="679"/>
      <c r="J214" s="679"/>
      <c r="K214" s="679"/>
      <c r="L214" s="680"/>
      <c r="M214" s="681"/>
      <c r="N214" s="680"/>
    </row>
    <row r="215" spans="1:14" s="673" customFormat="1" x14ac:dyDescent="0.3">
      <c r="A215" s="677"/>
      <c r="B215" s="678"/>
      <c r="C215" s="679"/>
      <c r="D215" s="679"/>
      <c r="E215" s="679"/>
      <c r="F215" s="1365"/>
      <c r="G215" s="679"/>
      <c r="H215" s="679"/>
      <c r="I215" s="679"/>
      <c r="J215" s="679"/>
      <c r="K215" s="679"/>
      <c r="L215" s="680"/>
      <c r="M215" s="681"/>
      <c r="N215" s="680"/>
    </row>
    <row r="216" spans="1:14" s="673" customFormat="1" x14ac:dyDescent="0.3">
      <c r="A216" s="677"/>
      <c r="B216" s="678"/>
      <c r="C216" s="679"/>
      <c r="D216" s="679"/>
      <c r="E216" s="679"/>
      <c r="F216" s="1365"/>
      <c r="G216" s="679"/>
      <c r="H216" s="679"/>
      <c r="I216" s="679"/>
      <c r="J216" s="679"/>
      <c r="K216" s="679"/>
      <c r="L216" s="680"/>
      <c r="M216" s="681"/>
      <c r="N216" s="680"/>
    </row>
    <row r="217" spans="1:14" s="673" customFormat="1" x14ac:dyDescent="0.3">
      <c r="A217" s="677"/>
      <c r="B217" s="678"/>
      <c r="C217" s="679"/>
      <c r="D217" s="679"/>
      <c r="E217" s="679"/>
      <c r="F217" s="1365"/>
      <c r="G217" s="679"/>
      <c r="H217" s="679"/>
      <c r="I217" s="679"/>
      <c r="J217" s="679"/>
      <c r="K217" s="679"/>
      <c r="L217" s="680"/>
      <c r="M217" s="681"/>
      <c r="N217" s="680"/>
    </row>
    <row r="218" spans="1:14" s="673" customFormat="1" x14ac:dyDescent="0.3">
      <c r="A218" s="677"/>
      <c r="B218" s="678"/>
      <c r="C218" s="679"/>
      <c r="D218" s="679"/>
      <c r="E218" s="679"/>
      <c r="F218" s="1365"/>
      <c r="G218" s="679"/>
      <c r="H218" s="679"/>
      <c r="I218" s="679"/>
      <c r="J218" s="679"/>
      <c r="K218" s="679"/>
      <c r="L218" s="680"/>
      <c r="M218" s="681"/>
      <c r="N218" s="680"/>
    </row>
    <row r="219" spans="1:14" s="673" customFormat="1" x14ac:dyDescent="0.3">
      <c r="A219" s="677"/>
      <c r="B219" s="678"/>
      <c r="C219" s="679"/>
      <c r="D219" s="679"/>
      <c r="E219" s="679"/>
      <c r="F219" s="1365"/>
      <c r="G219" s="679"/>
      <c r="H219" s="679"/>
      <c r="I219" s="679"/>
      <c r="J219" s="679"/>
      <c r="K219" s="679"/>
      <c r="L219" s="680"/>
      <c r="M219" s="681"/>
      <c r="N219" s="680"/>
    </row>
    <row r="220" spans="1:14" s="673" customFormat="1" x14ac:dyDescent="0.3">
      <c r="A220" s="677"/>
      <c r="B220" s="678"/>
      <c r="C220" s="679"/>
      <c r="D220" s="679"/>
      <c r="E220" s="679"/>
      <c r="F220" s="1365"/>
      <c r="G220" s="679"/>
      <c r="H220" s="679"/>
      <c r="I220" s="679"/>
      <c r="J220" s="679"/>
      <c r="K220" s="679"/>
      <c r="L220" s="680"/>
      <c r="M220" s="681"/>
      <c r="N220" s="680"/>
    </row>
    <row r="221" spans="1:14" s="673" customFormat="1" x14ac:dyDescent="0.3">
      <c r="A221" s="677"/>
      <c r="B221" s="678"/>
      <c r="C221" s="679"/>
      <c r="D221" s="679"/>
      <c r="E221" s="679"/>
      <c r="F221" s="1365"/>
      <c r="G221" s="679"/>
      <c r="H221" s="679"/>
      <c r="I221" s="679"/>
      <c r="J221" s="679"/>
      <c r="K221" s="679"/>
      <c r="L221" s="680"/>
      <c r="M221" s="681"/>
      <c r="N221" s="680"/>
    </row>
    <row r="222" spans="1:14" s="673" customFormat="1" x14ac:dyDescent="0.3">
      <c r="A222" s="677"/>
      <c r="B222" s="678"/>
      <c r="C222" s="679"/>
      <c r="D222" s="679"/>
      <c r="E222" s="679"/>
      <c r="F222" s="1365"/>
      <c r="G222" s="679"/>
      <c r="H222" s="679"/>
      <c r="I222" s="679"/>
      <c r="J222" s="679"/>
      <c r="K222" s="679"/>
      <c r="L222" s="680"/>
      <c r="M222" s="681"/>
      <c r="N222" s="680"/>
    </row>
    <row r="223" spans="1:14" s="673" customFormat="1" x14ac:dyDescent="0.3">
      <c r="A223" s="677"/>
      <c r="B223" s="678"/>
      <c r="C223" s="679"/>
      <c r="D223" s="679"/>
      <c r="E223" s="679"/>
      <c r="F223" s="1365"/>
      <c r="G223" s="679"/>
      <c r="H223" s="679"/>
      <c r="I223" s="679"/>
      <c r="J223" s="679"/>
      <c r="K223" s="679"/>
      <c r="L223" s="680"/>
      <c r="M223" s="681"/>
      <c r="N223" s="680"/>
    </row>
    <row r="224" spans="1:14" s="673" customFormat="1" x14ac:dyDescent="0.3">
      <c r="A224" s="677"/>
      <c r="B224" s="678"/>
      <c r="C224" s="679"/>
      <c r="D224" s="679"/>
      <c r="E224" s="679"/>
      <c r="F224" s="1365"/>
      <c r="G224" s="679"/>
      <c r="H224" s="679"/>
      <c r="I224" s="679"/>
      <c r="J224" s="679"/>
      <c r="K224" s="679"/>
      <c r="L224" s="680"/>
      <c r="M224" s="681"/>
      <c r="N224" s="680"/>
    </row>
    <row r="225" spans="1:14" s="673" customFormat="1" x14ac:dyDescent="0.3">
      <c r="A225" s="677"/>
      <c r="B225" s="678"/>
      <c r="C225" s="679"/>
      <c r="D225" s="679"/>
      <c r="E225" s="679"/>
      <c r="F225" s="1365"/>
      <c r="G225" s="679"/>
      <c r="H225" s="679"/>
      <c r="I225" s="679"/>
      <c r="J225" s="679"/>
      <c r="K225" s="679"/>
      <c r="L225" s="680"/>
      <c r="M225" s="681"/>
      <c r="N225" s="680"/>
    </row>
    <row r="226" spans="1:14" s="673" customFormat="1" x14ac:dyDescent="0.3">
      <c r="A226" s="677"/>
      <c r="B226" s="678"/>
      <c r="C226" s="679"/>
      <c r="D226" s="679"/>
      <c r="E226" s="679"/>
      <c r="F226" s="1365"/>
      <c r="G226" s="679"/>
      <c r="H226" s="679"/>
      <c r="I226" s="679"/>
      <c r="J226" s="679"/>
      <c r="K226" s="679"/>
      <c r="L226" s="680"/>
      <c r="M226" s="681"/>
      <c r="N226" s="680"/>
    </row>
    <row r="227" spans="1:14" s="673" customFormat="1" x14ac:dyDescent="0.3">
      <c r="A227" s="677"/>
      <c r="B227" s="678"/>
      <c r="C227" s="679"/>
      <c r="D227" s="679"/>
      <c r="E227" s="679"/>
      <c r="F227" s="1365"/>
      <c r="G227" s="679"/>
      <c r="H227" s="679"/>
      <c r="I227" s="679"/>
      <c r="J227" s="679"/>
      <c r="K227" s="679"/>
      <c r="L227" s="680"/>
      <c r="M227" s="681"/>
      <c r="N227" s="680"/>
    </row>
    <row r="228" spans="1:14" s="673" customFormat="1" x14ac:dyDescent="0.3">
      <c r="A228" s="677"/>
      <c r="B228" s="678"/>
      <c r="C228" s="679"/>
      <c r="D228" s="679"/>
      <c r="E228" s="679"/>
      <c r="F228" s="1365"/>
      <c r="G228" s="679"/>
      <c r="H228" s="679"/>
      <c r="I228" s="679"/>
      <c r="J228" s="679"/>
      <c r="K228" s="679"/>
      <c r="L228" s="680"/>
      <c r="M228" s="681"/>
      <c r="N228" s="680"/>
    </row>
    <row r="229" spans="1:14" s="673" customFormat="1" x14ac:dyDescent="0.3">
      <c r="A229" s="677"/>
      <c r="B229" s="678"/>
      <c r="C229" s="679"/>
      <c r="D229" s="679"/>
      <c r="E229" s="679"/>
      <c r="F229" s="1365"/>
      <c r="G229" s="679"/>
      <c r="H229" s="679"/>
      <c r="I229" s="679"/>
      <c r="J229" s="679"/>
      <c r="K229" s="679"/>
      <c r="L229" s="680"/>
      <c r="M229" s="681"/>
      <c r="N229" s="680"/>
    </row>
    <row r="230" spans="1:14" s="673" customFormat="1" x14ac:dyDescent="0.3">
      <c r="A230" s="677"/>
      <c r="B230" s="678"/>
      <c r="C230" s="679"/>
      <c r="D230" s="679"/>
      <c r="E230" s="679"/>
      <c r="F230" s="1365"/>
      <c r="G230" s="679"/>
      <c r="H230" s="679"/>
      <c r="I230" s="679"/>
      <c r="J230" s="679"/>
      <c r="K230" s="679"/>
      <c r="L230" s="680"/>
      <c r="M230" s="681"/>
      <c r="N230" s="680"/>
    </row>
    <row r="231" spans="1:14" s="673" customFormat="1" x14ac:dyDescent="0.3">
      <c r="A231" s="677"/>
      <c r="B231" s="678"/>
      <c r="C231" s="679"/>
      <c r="D231" s="679"/>
      <c r="E231" s="679"/>
      <c r="F231" s="1365"/>
      <c r="G231" s="679"/>
      <c r="H231" s="679"/>
      <c r="I231" s="679"/>
      <c r="J231" s="679"/>
      <c r="K231" s="679"/>
      <c r="L231" s="680"/>
      <c r="M231" s="681"/>
      <c r="N231" s="680"/>
    </row>
    <row r="232" spans="1:14" s="673" customFormat="1" x14ac:dyDescent="0.3">
      <c r="A232" s="677"/>
      <c r="B232" s="678"/>
      <c r="C232" s="679"/>
      <c r="D232" s="679"/>
      <c r="E232" s="679"/>
      <c r="F232" s="1365"/>
      <c r="G232" s="679"/>
      <c r="H232" s="679"/>
      <c r="I232" s="679"/>
      <c r="J232" s="679"/>
      <c r="K232" s="679"/>
      <c r="L232" s="680"/>
      <c r="M232" s="681"/>
      <c r="N232" s="680"/>
    </row>
    <row r="233" spans="1:14" s="673" customFormat="1" x14ac:dyDescent="0.3">
      <c r="A233" s="677"/>
      <c r="B233" s="678"/>
      <c r="C233" s="679"/>
      <c r="D233" s="679"/>
      <c r="E233" s="679"/>
      <c r="F233" s="1365"/>
      <c r="G233" s="679"/>
      <c r="H233" s="679"/>
      <c r="I233" s="679"/>
      <c r="J233" s="679"/>
      <c r="K233" s="679"/>
      <c r="L233" s="680"/>
      <c r="M233" s="681"/>
      <c r="N233" s="680"/>
    </row>
    <row r="234" spans="1:14" s="673" customFormat="1" x14ac:dyDescent="0.3">
      <c r="A234" s="677"/>
      <c r="B234" s="678"/>
      <c r="C234" s="679"/>
      <c r="D234" s="679"/>
      <c r="E234" s="679"/>
      <c r="F234" s="1365"/>
      <c r="G234" s="679"/>
      <c r="H234" s="679"/>
      <c r="I234" s="679"/>
      <c r="J234" s="679"/>
      <c r="K234" s="679"/>
      <c r="L234" s="680"/>
      <c r="M234" s="681"/>
      <c r="N234" s="680"/>
    </row>
    <row r="235" spans="1:14" s="673" customFormat="1" x14ac:dyDescent="0.3">
      <c r="A235" s="677"/>
      <c r="B235" s="678"/>
      <c r="C235" s="679"/>
      <c r="D235" s="679"/>
      <c r="E235" s="679"/>
      <c r="F235" s="1365"/>
      <c r="G235" s="679"/>
      <c r="H235" s="679"/>
      <c r="I235" s="679"/>
      <c r="J235" s="679"/>
      <c r="K235" s="679"/>
      <c r="L235" s="682"/>
      <c r="M235" s="679"/>
      <c r="N235" s="682"/>
    </row>
    <row r="236" spans="1:14" s="673" customFormat="1" x14ac:dyDescent="0.3">
      <c r="A236" s="683"/>
      <c r="B236" s="678"/>
      <c r="C236" s="679"/>
      <c r="D236" s="679"/>
      <c r="E236" s="679"/>
      <c r="F236" s="1365"/>
      <c r="G236" s="679"/>
      <c r="H236" s="679"/>
      <c r="I236" s="679"/>
      <c r="J236" s="679"/>
      <c r="K236" s="679"/>
      <c r="L236" s="682"/>
      <c r="M236" s="679"/>
      <c r="N236" s="682"/>
    </row>
    <row r="237" spans="1:14" s="673" customFormat="1" x14ac:dyDescent="0.3">
      <c r="A237" s="683"/>
      <c r="B237" s="678"/>
      <c r="C237" s="679"/>
      <c r="D237" s="679"/>
      <c r="E237" s="679"/>
      <c r="F237" s="1365"/>
      <c r="G237" s="679"/>
      <c r="H237" s="679"/>
      <c r="I237" s="679"/>
      <c r="J237" s="679"/>
      <c r="K237" s="679"/>
      <c r="L237" s="682"/>
      <c r="M237" s="679"/>
      <c r="N237" s="682"/>
    </row>
    <row r="238" spans="1:14" s="673" customFormat="1" x14ac:dyDescent="0.3">
      <c r="A238" s="683"/>
      <c r="B238" s="678"/>
      <c r="C238" s="679"/>
      <c r="D238" s="679"/>
      <c r="E238" s="679"/>
      <c r="F238" s="1365"/>
      <c r="G238" s="679"/>
      <c r="H238" s="679"/>
      <c r="I238" s="679"/>
      <c r="J238" s="679"/>
      <c r="K238" s="679"/>
      <c r="L238" s="682"/>
      <c r="M238" s="679"/>
      <c r="N238" s="682"/>
    </row>
    <row r="239" spans="1:14" s="673" customFormat="1" x14ac:dyDescent="0.3">
      <c r="A239" s="683"/>
      <c r="B239" s="678"/>
      <c r="C239" s="679"/>
      <c r="D239" s="679"/>
      <c r="E239" s="679"/>
      <c r="F239" s="1365"/>
      <c r="G239" s="679"/>
      <c r="H239" s="679"/>
      <c r="I239" s="679"/>
      <c r="J239" s="679"/>
      <c r="K239" s="679"/>
      <c r="L239" s="682"/>
      <c r="M239" s="679"/>
      <c r="N239" s="682"/>
    </row>
    <row r="240" spans="1:14" s="673" customFormat="1" x14ac:dyDescent="0.3">
      <c r="A240" s="683"/>
      <c r="B240" s="678"/>
      <c r="C240" s="679"/>
      <c r="D240" s="679"/>
      <c r="E240" s="679"/>
      <c r="F240" s="1365"/>
      <c r="G240" s="679"/>
      <c r="H240" s="679"/>
      <c r="I240" s="679"/>
      <c r="J240" s="679"/>
      <c r="K240" s="679"/>
      <c r="L240" s="682"/>
      <c r="M240" s="679"/>
      <c r="N240" s="682"/>
    </row>
    <row r="241" spans="1:14" s="673" customFormat="1" x14ac:dyDescent="0.3">
      <c r="A241" s="683"/>
      <c r="B241" s="678"/>
      <c r="C241" s="679"/>
      <c r="D241" s="679"/>
      <c r="E241" s="679"/>
      <c r="F241" s="1365"/>
      <c r="G241" s="679"/>
      <c r="H241" s="679"/>
      <c r="I241" s="679"/>
      <c r="J241" s="679"/>
      <c r="K241" s="679"/>
      <c r="L241" s="682"/>
      <c r="M241" s="679"/>
      <c r="N241" s="682"/>
    </row>
    <row r="242" spans="1:14" s="673" customFormat="1" x14ac:dyDescent="0.3">
      <c r="A242" s="683"/>
      <c r="B242" s="678"/>
      <c r="C242" s="679"/>
      <c r="D242" s="679"/>
      <c r="E242" s="679"/>
      <c r="F242" s="1365"/>
      <c r="G242" s="679"/>
      <c r="H242" s="679"/>
      <c r="I242" s="679"/>
      <c r="J242" s="679"/>
      <c r="K242" s="679"/>
      <c r="L242" s="682"/>
      <c r="M242" s="679"/>
      <c r="N242" s="682"/>
    </row>
    <row r="243" spans="1:14" s="673" customFormat="1" x14ac:dyDescent="0.3">
      <c r="A243" s="683"/>
      <c r="B243" s="678"/>
      <c r="C243" s="679"/>
      <c r="D243" s="679"/>
      <c r="E243" s="679"/>
      <c r="F243" s="1365"/>
      <c r="G243" s="679"/>
      <c r="H243" s="679"/>
      <c r="I243" s="679"/>
      <c r="J243" s="679"/>
      <c r="K243" s="679"/>
      <c r="L243" s="682"/>
      <c r="M243" s="679"/>
      <c r="N243" s="682"/>
    </row>
    <row r="244" spans="1:14" s="673" customFormat="1" x14ac:dyDescent="0.3">
      <c r="A244" s="683"/>
      <c r="B244" s="678"/>
      <c r="C244" s="679"/>
      <c r="D244" s="679"/>
      <c r="E244" s="679"/>
      <c r="F244" s="1365"/>
      <c r="G244" s="679"/>
      <c r="H244" s="679"/>
      <c r="I244" s="679"/>
      <c r="J244" s="679"/>
      <c r="K244" s="679"/>
      <c r="L244" s="682"/>
      <c r="M244" s="679"/>
      <c r="N244" s="682"/>
    </row>
  </sheetData>
  <mergeCells count="1">
    <mergeCell ref="A1:N1"/>
  </mergeCells>
  <phoneticPr fontId="5" type="noConversion"/>
  <printOptions horizontalCentered="1"/>
  <pageMargins left="0.39370078740157483" right="0.39370078740157483" top="0.51181102362204722" bottom="0.51181102362204722" header="0.31496062992125984" footer="0.31496062992125984"/>
  <pageSetup paperSize="9" scale="53" fitToHeight="2" orientation="portrait" r:id="rId1"/>
  <headerFooter>
    <oddHeader>&amp;L&amp;"Arial,Dőlt"&amp;12 &amp;U5. melléklet a 3/2014. (II.15.) önkormányzati rendelethez</oddHeader>
    <oddFooter>&amp;C&amp;12 Nagykőrös Város Önkormányzat 2014. évi költségvetési rendeletének V. sz. módosítása</oddFooter>
  </headerFooter>
  <rowBreaks count="1" manualBreakCount="1">
    <brk id="4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38"/>
  <sheetViews>
    <sheetView view="pageLayout" zoomScaleNormal="100" zoomScaleSheetLayoutView="100" workbookViewId="0">
      <selection activeCell="B41" sqref="B41"/>
    </sheetView>
  </sheetViews>
  <sheetFormatPr defaultRowHeight="14.25" x14ac:dyDescent="0.2"/>
  <cols>
    <col min="1" max="1" width="7.140625" style="4" customWidth="1"/>
    <col min="2" max="2" width="64.85546875" style="4" customWidth="1"/>
    <col min="3" max="3" width="15.28515625" style="117" customWidth="1"/>
    <col min="4" max="4" width="14.5703125" style="117" hidden="1" customWidth="1"/>
    <col min="5" max="10" width="15.28515625" style="117" hidden="1" customWidth="1"/>
    <col min="11" max="13" width="15.28515625" style="117" customWidth="1"/>
    <col min="14" max="15" width="15.28515625" style="115" customWidth="1"/>
    <col min="16" max="16" width="15.28515625" style="4" customWidth="1"/>
    <col min="17" max="17" width="12.28515625" customWidth="1"/>
    <col min="18" max="18" width="20.85546875" customWidth="1"/>
  </cols>
  <sheetData>
    <row r="1" spans="1:17" s="9" customFormat="1" ht="30" customHeight="1" thickBot="1" x14ac:dyDescent="0.25">
      <c r="A1" s="1606" t="s">
        <v>307</v>
      </c>
      <c r="B1" s="1606"/>
      <c r="C1" s="1606"/>
      <c r="D1" s="1606"/>
      <c r="E1" s="1606"/>
      <c r="F1" s="1606"/>
      <c r="G1" s="1606"/>
      <c r="H1" s="1606"/>
      <c r="I1" s="1606"/>
      <c r="J1" s="1606"/>
      <c r="K1" s="1606"/>
      <c r="L1" s="1606"/>
      <c r="M1" s="1606"/>
      <c r="N1" s="1606"/>
      <c r="O1" s="1606"/>
      <c r="P1" s="1606"/>
    </row>
    <row r="2" spans="1:17" s="108" customFormat="1" ht="46.5" customHeight="1" thickBot="1" x14ac:dyDescent="0.25">
      <c r="A2" s="509" t="s">
        <v>110</v>
      </c>
      <c r="B2" s="510" t="s">
        <v>111</v>
      </c>
      <c r="C2" s="511" t="s">
        <v>289</v>
      </c>
      <c r="D2" s="685" t="s">
        <v>152</v>
      </c>
      <c r="E2" s="511" t="s">
        <v>884</v>
      </c>
      <c r="F2" s="511" t="s">
        <v>879</v>
      </c>
      <c r="G2" s="685" t="s">
        <v>934</v>
      </c>
      <c r="H2" s="511" t="s">
        <v>935</v>
      </c>
      <c r="I2" s="511" t="s">
        <v>932</v>
      </c>
      <c r="J2" s="511" t="s">
        <v>948</v>
      </c>
      <c r="K2" s="511" t="s">
        <v>946</v>
      </c>
      <c r="L2" s="511" t="s">
        <v>948</v>
      </c>
      <c r="M2" s="511" t="s">
        <v>933</v>
      </c>
      <c r="N2" s="512" t="s">
        <v>325</v>
      </c>
      <c r="O2" s="512" t="s">
        <v>326</v>
      </c>
      <c r="P2" s="513" t="s">
        <v>308</v>
      </c>
    </row>
    <row r="3" spans="1:17" s="110" customFormat="1" ht="30.95" customHeight="1" x14ac:dyDescent="0.25">
      <c r="A3" s="498" t="s">
        <v>375</v>
      </c>
      <c r="B3" s="499" t="s">
        <v>824</v>
      </c>
      <c r="C3" s="1155">
        <v>0</v>
      </c>
      <c r="D3" s="1155"/>
      <c r="E3" s="1155">
        <v>5920</v>
      </c>
      <c r="F3" s="1155">
        <v>95</v>
      </c>
      <c r="G3" s="1155">
        <f>E3+F3</f>
        <v>6015</v>
      </c>
      <c r="H3" s="1155">
        <v>3599</v>
      </c>
      <c r="I3" s="1155">
        <f>G3+H3</f>
        <v>9614</v>
      </c>
      <c r="J3" s="1155"/>
      <c r="K3" s="1155">
        <f>I3+J3</f>
        <v>9614</v>
      </c>
      <c r="L3" s="1155"/>
      <c r="M3" s="1155">
        <f>K3+L3</f>
        <v>9614</v>
      </c>
      <c r="N3" s="1155">
        <f t="shared" ref="N3:N9" si="0">M3</f>
        <v>9614</v>
      </c>
      <c r="O3" s="1155">
        <v>0</v>
      </c>
      <c r="P3" s="1156"/>
      <c r="Q3" s="109">
        <f>SUM(N3:P3)</f>
        <v>9614</v>
      </c>
    </row>
    <row r="4" spans="1:17" s="110" customFormat="1" ht="30.95" customHeight="1" x14ac:dyDescent="0.25">
      <c r="A4" s="500" t="s">
        <v>376</v>
      </c>
      <c r="B4" s="501" t="s">
        <v>823</v>
      </c>
      <c r="C4" s="1157">
        <v>0</v>
      </c>
      <c r="D4" s="1157"/>
      <c r="E4" s="1157">
        <f>C4+D4</f>
        <v>0</v>
      </c>
      <c r="F4" s="1349"/>
      <c r="G4" s="1155">
        <f>E4+F4</f>
        <v>0</v>
      </c>
      <c r="H4" s="1155"/>
      <c r="I4" s="1155">
        <f>G4+H4</f>
        <v>0</v>
      </c>
      <c r="J4" s="1155"/>
      <c r="K4" s="1155">
        <f>I4+J4</f>
        <v>0</v>
      </c>
      <c r="L4" s="1155"/>
      <c r="M4" s="1155">
        <f>K4+L4</f>
        <v>0</v>
      </c>
      <c r="N4" s="1155">
        <f t="shared" si="0"/>
        <v>0</v>
      </c>
      <c r="O4" s="1157">
        <v>0</v>
      </c>
      <c r="P4" s="1158"/>
      <c r="Q4" s="109">
        <f t="shared" ref="Q4:Q29" si="1">SUM(N4:P4)</f>
        <v>0</v>
      </c>
    </row>
    <row r="5" spans="1:17" s="110" customFormat="1" ht="29.1" customHeight="1" x14ac:dyDescent="0.25">
      <c r="A5" s="500" t="s">
        <v>377</v>
      </c>
      <c r="B5" s="502" t="s">
        <v>388</v>
      </c>
      <c r="C5" s="1157">
        <f>C6</f>
        <v>550</v>
      </c>
      <c r="D5" s="1157">
        <f>D6</f>
        <v>500</v>
      </c>
      <c r="E5" s="1157">
        <f>E6</f>
        <v>1050</v>
      </c>
      <c r="F5" s="1157">
        <f>F6</f>
        <v>200</v>
      </c>
      <c r="G5" s="1155">
        <f>E5+F5</f>
        <v>1250</v>
      </c>
      <c r="H5" s="1155">
        <f>H6</f>
        <v>0</v>
      </c>
      <c r="I5" s="1155">
        <f>G5+H5</f>
        <v>1250</v>
      </c>
      <c r="J5" s="1155"/>
      <c r="K5" s="1155">
        <f>I5+J5</f>
        <v>1250</v>
      </c>
      <c r="L5" s="1155">
        <f>L6</f>
        <v>-690</v>
      </c>
      <c r="M5" s="1155">
        <f>K5+L5</f>
        <v>560</v>
      </c>
      <c r="N5" s="1155">
        <f t="shared" si="0"/>
        <v>560</v>
      </c>
      <c r="O5" s="1157">
        <f>O6</f>
        <v>0</v>
      </c>
      <c r="P5" s="1158"/>
      <c r="Q5" s="109">
        <f t="shared" si="1"/>
        <v>560</v>
      </c>
    </row>
    <row r="6" spans="1:17" s="111" customFormat="1" ht="24.95" customHeight="1" x14ac:dyDescent="0.2">
      <c r="A6" s="500" t="s">
        <v>413</v>
      </c>
      <c r="B6" s="502" t="s">
        <v>451</v>
      </c>
      <c r="C6" s="1159">
        <f t="shared" ref="C6:E6" si="2">C7+C8</f>
        <v>550</v>
      </c>
      <c r="D6" s="1159">
        <f t="shared" si="2"/>
        <v>500</v>
      </c>
      <c r="E6" s="1159">
        <f t="shared" si="2"/>
        <v>1050</v>
      </c>
      <c r="F6" s="1159">
        <f>F7+F8+F9</f>
        <v>200</v>
      </c>
      <c r="G6" s="1159">
        <f>G7+G8+G9</f>
        <v>1250</v>
      </c>
      <c r="H6" s="1159">
        <f>H7+H8+H9</f>
        <v>0</v>
      </c>
      <c r="I6" s="1159">
        <f>I7+I8+I9</f>
        <v>1250</v>
      </c>
      <c r="J6" s="1159">
        <f>SUM(J7:J9)</f>
        <v>0</v>
      </c>
      <c r="K6" s="1159">
        <f>SUM(K7:K9)</f>
        <v>1250</v>
      </c>
      <c r="L6" s="1159">
        <f>SUM(L7:L9)</f>
        <v>-690</v>
      </c>
      <c r="M6" s="1159">
        <f>SUM(M7:M9)</f>
        <v>560</v>
      </c>
      <c r="N6" s="1155">
        <f t="shared" si="0"/>
        <v>560</v>
      </c>
      <c r="O6" s="1160">
        <v>0</v>
      </c>
      <c r="P6" s="1158"/>
      <c r="Q6" s="109">
        <f t="shared" si="1"/>
        <v>560</v>
      </c>
    </row>
    <row r="7" spans="1:17" s="112" customFormat="1" ht="20.100000000000001" customHeight="1" x14ac:dyDescent="0.2">
      <c r="A7" s="514"/>
      <c r="B7" s="515" t="s">
        <v>115</v>
      </c>
      <c r="C7" s="1161">
        <v>500</v>
      </c>
      <c r="D7" s="1161">
        <v>500</v>
      </c>
      <c r="E7" s="1161">
        <f>C7+D7</f>
        <v>1000</v>
      </c>
      <c r="F7" s="1351"/>
      <c r="G7" s="1161">
        <f>E7+F7</f>
        <v>1000</v>
      </c>
      <c r="H7" s="1161"/>
      <c r="I7" s="1161">
        <f>G7+H7</f>
        <v>1000</v>
      </c>
      <c r="J7" s="1161"/>
      <c r="K7" s="1161">
        <f>I7+J7</f>
        <v>1000</v>
      </c>
      <c r="L7" s="1161">
        <v>-690</v>
      </c>
      <c r="M7" s="1161">
        <f>K7+L7</f>
        <v>310</v>
      </c>
      <c r="N7" s="1155">
        <f t="shared" si="0"/>
        <v>310</v>
      </c>
      <c r="O7" s="1162">
        <v>0</v>
      </c>
      <c r="P7" s="1163"/>
      <c r="Q7" s="109">
        <f t="shared" si="1"/>
        <v>310</v>
      </c>
    </row>
    <row r="8" spans="1:17" s="112" customFormat="1" ht="20.100000000000001" customHeight="1" x14ac:dyDescent="0.2">
      <c r="A8" s="514"/>
      <c r="B8" s="515" t="s">
        <v>116</v>
      </c>
      <c r="C8" s="1161">
        <v>50</v>
      </c>
      <c r="D8" s="1161"/>
      <c r="E8" s="1161">
        <f>C8+D8</f>
        <v>50</v>
      </c>
      <c r="F8" s="1161">
        <v>50</v>
      </c>
      <c r="G8" s="1161">
        <f>E8+F8</f>
        <v>100</v>
      </c>
      <c r="H8" s="1161"/>
      <c r="I8" s="1161">
        <f>G8+H8</f>
        <v>100</v>
      </c>
      <c r="J8" s="1161"/>
      <c r="K8" s="1161">
        <f>I8+J8</f>
        <v>100</v>
      </c>
      <c r="L8" s="1161">
        <v>0</v>
      </c>
      <c r="M8" s="1161">
        <f>K8+L8</f>
        <v>100</v>
      </c>
      <c r="N8" s="1155">
        <f t="shared" si="0"/>
        <v>100</v>
      </c>
      <c r="O8" s="1162">
        <v>0</v>
      </c>
      <c r="P8" s="1163"/>
      <c r="Q8" s="109">
        <f t="shared" si="1"/>
        <v>100</v>
      </c>
    </row>
    <row r="9" spans="1:17" s="112" customFormat="1" ht="20.100000000000001" customHeight="1" x14ac:dyDescent="0.2">
      <c r="A9" s="514"/>
      <c r="B9" s="515" t="s">
        <v>894</v>
      </c>
      <c r="C9" s="1161"/>
      <c r="D9" s="1161"/>
      <c r="E9" s="1161"/>
      <c r="F9" s="1161">
        <v>150</v>
      </c>
      <c r="G9" s="1161">
        <f>E9+F9</f>
        <v>150</v>
      </c>
      <c r="H9" s="1161"/>
      <c r="I9" s="1161">
        <f>G9+H9</f>
        <v>150</v>
      </c>
      <c r="J9" s="1161"/>
      <c r="K9" s="1161">
        <f>I9+J9</f>
        <v>150</v>
      </c>
      <c r="L9" s="1161"/>
      <c r="M9" s="1161">
        <f>K9+L9</f>
        <v>150</v>
      </c>
      <c r="N9" s="1155">
        <f t="shared" si="0"/>
        <v>150</v>
      </c>
      <c r="O9" s="1348"/>
      <c r="P9" s="1163"/>
      <c r="Q9" s="109"/>
    </row>
    <row r="10" spans="1:17" s="110" customFormat="1" ht="29.1" customHeight="1" x14ac:dyDescent="0.25">
      <c r="A10" s="500" t="s">
        <v>378</v>
      </c>
      <c r="B10" s="503" t="s">
        <v>114</v>
      </c>
      <c r="C10" s="1157">
        <f>C12+C14+C16+C17</f>
        <v>30720</v>
      </c>
      <c r="D10" s="1157" t="e">
        <f>D12+D14+D16+D17+#REF!+#REF!+D20</f>
        <v>#REF!</v>
      </c>
      <c r="E10" s="1157">
        <f>E12+E14+E16+E17+E20+E15+E19</f>
        <v>31737</v>
      </c>
      <c r="F10" s="1157">
        <f>F12+F14+F16+F17+F20+F11+F19</f>
        <v>50</v>
      </c>
      <c r="G10" s="1157">
        <f>G12+G14+G16+G17+G20+G11+G19+G15</f>
        <v>31787</v>
      </c>
      <c r="H10" s="1157"/>
      <c r="I10" s="1157">
        <f>I12+I14+I16+I17+I20+I11+I19+I15</f>
        <v>31787</v>
      </c>
      <c r="J10" s="1157">
        <f>J11+J12+J14+J15+J16+J17+J19+J20</f>
        <v>0</v>
      </c>
      <c r="K10" s="1157">
        <f>K11+K12+K14+K15+K16+K17+K19+K20</f>
        <v>31787</v>
      </c>
      <c r="L10" s="1157">
        <f>L11+L12+L14+L15+L16+L17+L19+L20</f>
        <v>105</v>
      </c>
      <c r="M10" s="1157">
        <f>M11+M12+M14+M15+M16+M17+M19+M20</f>
        <v>31892</v>
      </c>
      <c r="N10" s="1157">
        <v>0</v>
      </c>
      <c r="O10" s="1157">
        <f>O11+O12+O14+O15+O16+O17+O19+O20</f>
        <v>31892</v>
      </c>
      <c r="P10" s="1158"/>
      <c r="Q10" s="109">
        <f t="shared" si="1"/>
        <v>31892</v>
      </c>
    </row>
    <row r="11" spans="1:17" s="110" customFormat="1" ht="30.95" customHeight="1" x14ac:dyDescent="0.25">
      <c r="A11" s="500" t="s">
        <v>898</v>
      </c>
      <c r="B11" s="503" t="s">
        <v>899</v>
      </c>
      <c r="C11" s="1157"/>
      <c r="D11" s="1157"/>
      <c r="E11" s="1157"/>
      <c r="F11" s="1157">
        <v>100</v>
      </c>
      <c r="G11" s="1157">
        <v>100</v>
      </c>
      <c r="H11" s="1157"/>
      <c r="I11" s="1157">
        <v>100</v>
      </c>
      <c r="J11" s="1157"/>
      <c r="K11" s="1157">
        <f>I11+J11</f>
        <v>100</v>
      </c>
      <c r="L11" s="1157">
        <v>-66</v>
      </c>
      <c r="M11" s="1157">
        <f>K11+L11</f>
        <v>34</v>
      </c>
      <c r="N11" s="1157"/>
      <c r="O11" s="1157">
        <f>M11</f>
        <v>34</v>
      </c>
      <c r="P11" s="1158"/>
      <c r="Q11" s="109"/>
    </row>
    <row r="12" spans="1:17" s="110" customFormat="1" ht="24.95" customHeight="1" x14ac:dyDescent="0.25">
      <c r="A12" s="500" t="s">
        <v>395</v>
      </c>
      <c r="B12" s="502" t="s">
        <v>396</v>
      </c>
      <c r="C12" s="1157">
        <f t="shared" ref="C12:N12" si="3">C13</f>
        <v>6000</v>
      </c>
      <c r="D12" s="1157">
        <f t="shared" si="3"/>
        <v>0</v>
      </c>
      <c r="E12" s="1157">
        <f t="shared" si="3"/>
        <v>6000</v>
      </c>
      <c r="F12" s="1157">
        <v>-2000</v>
      </c>
      <c r="G12" s="1157">
        <f t="shared" si="3"/>
        <v>4000</v>
      </c>
      <c r="H12" s="1157"/>
      <c r="I12" s="1157">
        <f>I13</f>
        <v>4000</v>
      </c>
      <c r="J12" s="1157">
        <f>J13</f>
        <v>0</v>
      </c>
      <c r="K12" s="1157">
        <f>K13</f>
        <v>4000</v>
      </c>
      <c r="L12" s="1157">
        <f>L13</f>
        <v>-620</v>
      </c>
      <c r="M12" s="1157">
        <f>M13</f>
        <v>3380</v>
      </c>
      <c r="N12" s="1157">
        <f t="shared" si="3"/>
        <v>0</v>
      </c>
      <c r="O12" s="1157">
        <f>O13</f>
        <v>3380</v>
      </c>
      <c r="P12" s="1158"/>
      <c r="Q12" s="109">
        <f t="shared" si="1"/>
        <v>3380</v>
      </c>
    </row>
    <row r="13" spans="1:17" s="1251" customFormat="1" ht="20.100000000000001" customHeight="1" x14ac:dyDescent="0.25">
      <c r="A13" s="504"/>
      <c r="B13" s="686" t="s">
        <v>838</v>
      </c>
      <c r="C13" s="1247">
        <v>6000</v>
      </c>
      <c r="D13" s="1247"/>
      <c r="E13" s="1247">
        <f>C13+D13</f>
        <v>6000</v>
      </c>
      <c r="F13" s="1247">
        <v>-2000</v>
      </c>
      <c r="G13" s="1247">
        <f>E13+F13</f>
        <v>4000</v>
      </c>
      <c r="H13" s="1247"/>
      <c r="I13" s="1247">
        <f>G13+H13</f>
        <v>4000</v>
      </c>
      <c r="J13" s="1247"/>
      <c r="K13" s="1247">
        <f>I13+J13</f>
        <v>4000</v>
      </c>
      <c r="L13" s="1247">
        <v>-620</v>
      </c>
      <c r="M13" s="1247">
        <f>K13+L13</f>
        <v>3380</v>
      </c>
      <c r="N13" s="1247">
        <v>0</v>
      </c>
      <c r="O13" s="1157">
        <f>M13</f>
        <v>3380</v>
      </c>
      <c r="P13" s="1249"/>
      <c r="Q13" s="1250">
        <f t="shared" si="1"/>
        <v>3380</v>
      </c>
    </row>
    <row r="14" spans="1:17" s="110" customFormat="1" ht="24.95" customHeight="1" x14ac:dyDescent="0.25">
      <c r="A14" s="500" t="s">
        <v>398</v>
      </c>
      <c r="B14" s="501" t="s">
        <v>397</v>
      </c>
      <c r="C14" s="1159">
        <v>15000</v>
      </c>
      <c r="D14" s="1159"/>
      <c r="E14" s="1157">
        <f>C14+D14</f>
        <v>15000</v>
      </c>
      <c r="F14" s="1157">
        <v>0</v>
      </c>
      <c r="G14" s="1157">
        <f>E14+F14</f>
        <v>15000</v>
      </c>
      <c r="H14" s="1157"/>
      <c r="I14" s="1157">
        <f>G14+H14</f>
        <v>15000</v>
      </c>
      <c r="J14" s="1157"/>
      <c r="K14" s="1157">
        <f>I14+J14</f>
        <v>15000</v>
      </c>
      <c r="L14" s="1157">
        <v>4000</v>
      </c>
      <c r="M14" s="1157">
        <f>K14+L14</f>
        <v>19000</v>
      </c>
      <c r="N14" s="1159">
        <v>0</v>
      </c>
      <c r="O14" s="1157">
        <f>M14</f>
        <v>19000</v>
      </c>
      <c r="P14" s="1164"/>
      <c r="Q14" s="109">
        <f t="shared" si="1"/>
        <v>19000</v>
      </c>
    </row>
    <row r="15" spans="1:17" s="110" customFormat="1" ht="24.95" customHeight="1" x14ac:dyDescent="0.25">
      <c r="A15" s="500" t="s">
        <v>851</v>
      </c>
      <c r="B15" s="1105" t="s">
        <v>854</v>
      </c>
      <c r="C15" s="1159"/>
      <c r="D15" s="1159">
        <v>5</v>
      </c>
      <c r="E15" s="1157">
        <v>5</v>
      </c>
      <c r="F15" s="1349"/>
      <c r="G15" s="1157">
        <f>E15+F15</f>
        <v>5</v>
      </c>
      <c r="H15" s="1157"/>
      <c r="I15" s="1157">
        <f>G15+H15</f>
        <v>5</v>
      </c>
      <c r="J15" s="1157"/>
      <c r="K15" s="1157">
        <f>I15+J15</f>
        <v>5</v>
      </c>
      <c r="L15" s="1157"/>
      <c r="M15" s="1157">
        <f>K15+L15</f>
        <v>5</v>
      </c>
      <c r="N15" s="1159"/>
      <c r="O15" s="1157">
        <f>M15</f>
        <v>5</v>
      </c>
      <c r="P15" s="1164"/>
      <c r="Q15" s="109"/>
    </row>
    <row r="16" spans="1:17" s="110" customFormat="1" ht="24.95" customHeight="1" x14ac:dyDescent="0.25">
      <c r="A16" s="500" t="s">
        <v>402</v>
      </c>
      <c r="B16" s="502" t="s">
        <v>401</v>
      </c>
      <c r="C16" s="1159">
        <v>5670</v>
      </c>
      <c r="D16" s="1159"/>
      <c r="E16" s="1157">
        <f>C16+D16</f>
        <v>5670</v>
      </c>
      <c r="F16" s="1157">
        <v>-200</v>
      </c>
      <c r="G16" s="1157">
        <f>E16+F16</f>
        <v>5470</v>
      </c>
      <c r="H16" s="1157"/>
      <c r="I16" s="1157">
        <f>G16+H16</f>
        <v>5470</v>
      </c>
      <c r="J16" s="1157"/>
      <c r="K16" s="1157">
        <f>I16+J16</f>
        <v>5470</v>
      </c>
      <c r="L16" s="1157">
        <f>435-690</f>
        <v>-255</v>
      </c>
      <c r="M16" s="1157">
        <f>K16+L16</f>
        <v>5215</v>
      </c>
      <c r="N16" s="1159">
        <v>0</v>
      </c>
      <c r="O16" s="1157">
        <f>M16</f>
        <v>5215</v>
      </c>
      <c r="P16" s="1164"/>
      <c r="Q16" s="109">
        <f t="shared" si="1"/>
        <v>5215</v>
      </c>
    </row>
    <row r="17" spans="1:18" s="110" customFormat="1" ht="24.95" customHeight="1" x14ac:dyDescent="0.25">
      <c r="A17" s="500" t="s">
        <v>403</v>
      </c>
      <c r="B17" s="505" t="s">
        <v>404</v>
      </c>
      <c r="C17" s="1159">
        <f t="shared" ref="C17:N17" si="4">C18</f>
        <v>4050</v>
      </c>
      <c r="D17" s="1159">
        <f t="shared" si="4"/>
        <v>0</v>
      </c>
      <c r="E17" s="1159">
        <f t="shared" si="4"/>
        <v>4050</v>
      </c>
      <c r="F17" s="1350">
        <f t="shared" si="4"/>
        <v>0</v>
      </c>
      <c r="G17" s="1159">
        <f t="shared" si="4"/>
        <v>4050</v>
      </c>
      <c r="H17" s="1159">
        <f>H18</f>
        <v>0</v>
      </c>
      <c r="I17" s="1159">
        <f>G18</f>
        <v>4050</v>
      </c>
      <c r="J17" s="1159">
        <f>J18</f>
        <v>0</v>
      </c>
      <c r="K17" s="1159">
        <f>K18</f>
        <v>4050</v>
      </c>
      <c r="L17" s="1159">
        <f>L18</f>
        <v>-3435</v>
      </c>
      <c r="M17" s="1159">
        <f>M18</f>
        <v>615</v>
      </c>
      <c r="N17" s="1159">
        <f t="shared" si="4"/>
        <v>0</v>
      </c>
      <c r="O17" s="1157">
        <f>O18</f>
        <v>615</v>
      </c>
      <c r="P17" s="1164"/>
      <c r="Q17" s="109">
        <f t="shared" si="1"/>
        <v>615</v>
      </c>
    </row>
    <row r="18" spans="1:18" s="110" customFormat="1" ht="20.100000000000001" customHeight="1" x14ac:dyDescent="0.25">
      <c r="A18" s="504"/>
      <c r="B18" s="516" t="s">
        <v>254</v>
      </c>
      <c r="C18" s="1157">
        <v>4050</v>
      </c>
      <c r="D18" s="1157"/>
      <c r="E18" s="1157">
        <f>C18+D18</f>
        <v>4050</v>
      </c>
      <c r="F18" s="1349"/>
      <c r="G18" s="1157">
        <f t="shared" ref="G18:G24" si="5">E18+F18</f>
        <v>4050</v>
      </c>
      <c r="H18" s="1157"/>
      <c r="I18" s="1157">
        <f t="shared" ref="I18:I24" si="6">G18+H18</f>
        <v>4050</v>
      </c>
      <c r="J18" s="1157"/>
      <c r="K18" s="1157">
        <f t="shared" ref="K18:M23" si="7">I18+J18</f>
        <v>4050</v>
      </c>
      <c r="L18" s="1157">
        <v>-3435</v>
      </c>
      <c r="M18" s="1157">
        <f t="shared" si="7"/>
        <v>615</v>
      </c>
      <c r="N18" s="1157">
        <v>0</v>
      </c>
      <c r="O18" s="1157">
        <f>M18</f>
        <v>615</v>
      </c>
      <c r="P18" s="1158"/>
      <c r="Q18" s="109">
        <f t="shared" si="1"/>
        <v>615</v>
      </c>
    </row>
    <row r="19" spans="1:18" s="110" customFormat="1" ht="24.95" customHeight="1" x14ac:dyDescent="0.25">
      <c r="A19" s="500" t="s">
        <v>405</v>
      </c>
      <c r="B19" s="1105" t="s">
        <v>852</v>
      </c>
      <c r="C19" s="1159"/>
      <c r="D19" s="1159">
        <v>270</v>
      </c>
      <c r="E19" s="1157">
        <v>270</v>
      </c>
      <c r="F19" s="1157">
        <v>150</v>
      </c>
      <c r="G19" s="1157">
        <f>E19+F19</f>
        <v>420</v>
      </c>
      <c r="H19" s="1157"/>
      <c r="I19" s="1157">
        <f t="shared" si="6"/>
        <v>420</v>
      </c>
      <c r="J19" s="1157"/>
      <c r="K19" s="1157">
        <f t="shared" si="7"/>
        <v>420</v>
      </c>
      <c r="L19" s="1157">
        <v>66</v>
      </c>
      <c r="M19" s="1157">
        <f t="shared" si="7"/>
        <v>486</v>
      </c>
      <c r="N19" s="1159"/>
      <c r="O19" s="1157">
        <f>M19</f>
        <v>486</v>
      </c>
      <c r="P19" s="1164"/>
      <c r="Q19" s="109"/>
    </row>
    <row r="20" spans="1:18" s="110" customFormat="1" ht="24.95" customHeight="1" x14ac:dyDescent="0.25">
      <c r="A20" s="500" t="s">
        <v>409</v>
      </c>
      <c r="B20" s="1110" t="s">
        <v>410</v>
      </c>
      <c r="C20" s="1157"/>
      <c r="D20" s="1157">
        <f>85+657</f>
        <v>742</v>
      </c>
      <c r="E20" s="1157">
        <f>85+657</f>
        <v>742</v>
      </c>
      <c r="F20" s="1157">
        <v>2000</v>
      </c>
      <c r="G20" s="1157">
        <f t="shared" si="5"/>
        <v>2742</v>
      </c>
      <c r="H20" s="1157"/>
      <c r="I20" s="1157">
        <f t="shared" si="6"/>
        <v>2742</v>
      </c>
      <c r="J20" s="1157"/>
      <c r="K20" s="1157">
        <f t="shared" si="7"/>
        <v>2742</v>
      </c>
      <c r="L20" s="1157">
        <v>415</v>
      </c>
      <c r="M20" s="1157">
        <f t="shared" si="7"/>
        <v>3157</v>
      </c>
      <c r="N20" s="1157"/>
      <c r="O20" s="1157">
        <f>M20</f>
        <v>3157</v>
      </c>
      <c r="P20" s="1158"/>
      <c r="Q20" s="109"/>
    </row>
    <row r="21" spans="1:18" s="110" customFormat="1" ht="29.1" customHeight="1" x14ac:dyDescent="0.25">
      <c r="A21" s="500" t="s">
        <v>379</v>
      </c>
      <c r="B21" s="502" t="s">
        <v>389</v>
      </c>
      <c r="C21" s="1157">
        <v>0</v>
      </c>
      <c r="D21" s="1157"/>
      <c r="E21" s="1157">
        <f>C21+D21</f>
        <v>0</v>
      </c>
      <c r="F21" s="1349"/>
      <c r="G21" s="1157">
        <f t="shared" si="5"/>
        <v>0</v>
      </c>
      <c r="H21" s="1157"/>
      <c r="I21" s="1157">
        <f t="shared" si="6"/>
        <v>0</v>
      </c>
      <c r="J21" s="1157"/>
      <c r="K21" s="1157">
        <f t="shared" si="7"/>
        <v>0</v>
      </c>
      <c r="L21" s="1157"/>
      <c r="M21" s="1157">
        <f t="shared" si="7"/>
        <v>0</v>
      </c>
      <c r="N21" s="1157">
        <v>0</v>
      </c>
      <c r="O21" s="1160">
        <v>0</v>
      </c>
      <c r="P21" s="1158"/>
      <c r="Q21" s="109">
        <f t="shared" si="1"/>
        <v>0</v>
      </c>
    </row>
    <row r="22" spans="1:18" s="110" customFormat="1" ht="29.1" customHeight="1" x14ac:dyDescent="0.25">
      <c r="A22" s="500" t="s">
        <v>380</v>
      </c>
      <c r="B22" s="501" t="s">
        <v>390</v>
      </c>
      <c r="C22" s="1157">
        <v>0</v>
      </c>
      <c r="D22" s="1157">
        <v>5920</v>
      </c>
      <c r="E22" s="1157">
        <v>0</v>
      </c>
      <c r="F22" s="1157">
        <v>700</v>
      </c>
      <c r="G22" s="1157">
        <f t="shared" si="5"/>
        <v>700</v>
      </c>
      <c r="H22" s="1157"/>
      <c r="I22" s="1157">
        <f t="shared" si="6"/>
        <v>700</v>
      </c>
      <c r="J22" s="1157"/>
      <c r="K22" s="1157">
        <f t="shared" si="7"/>
        <v>700</v>
      </c>
      <c r="L22" s="1157"/>
      <c r="M22" s="1157">
        <f t="shared" si="7"/>
        <v>700</v>
      </c>
      <c r="N22" s="1157">
        <f>E22</f>
        <v>0</v>
      </c>
      <c r="O22" s="1160">
        <f>M22</f>
        <v>700</v>
      </c>
      <c r="P22" s="1158"/>
      <c r="Q22" s="109">
        <f t="shared" si="1"/>
        <v>700</v>
      </c>
    </row>
    <row r="23" spans="1:18" s="110" customFormat="1" ht="29.1" customHeight="1" x14ac:dyDescent="0.25">
      <c r="A23" s="500" t="s">
        <v>381</v>
      </c>
      <c r="B23" s="501" t="s">
        <v>391</v>
      </c>
      <c r="C23" s="1157">
        <v>0</v>
      </c>
      <c r="D23" s="1157"/>
      <c r="E23" s="1157">
        <f>C23+D23</f>
        <v>0</v>
      </c>
      <c r="F23" s="1157">
        <v>415</v>
      </c>
      <c r="G23" s="1157">
        <f t="shared" si="5"/>
        <v>415</v>
      </c>
      <c r="H23" s="1157"/>
      <c r="I23" s="1157">
        <f t="shared" si="6"/>
        <v>415</v>
      </c>
      <c r="J23" s="1157"/>
      <c r="K23" s="1157">
        <f t="shared" si="7"/>
        <v>415</v>
      </c>
      <c r="L23" s="1157">
        <v>-415</v>
      </c>
      <c r="M23" s="1157">
        <f t="shared" si="7"/>
        <v>0</v>
      </c>
      <c r="N23" s="1157">
        <v>0</v>
      </c>
      <c r="O23" s="1160">
        <f>M23</f>
        <v>0</v>
      </c>
      <c r="P23" s="1158"/>
      <c r="Q23" s="109">
        <f t="shared" si="1"/>
        <v>0</v>
      </c>
    </row>
    <row r="24" spans="1:18" s="110" customFormat="1" ht="29.1" customHeight="1" x14ac:dyDescent="0.25">
      <c r="A24" s="500" t="s">
        <v>382</v>
      </c>
      <c r="B24" s="502" t="s">
        <v>122</v>
      </c>
      <c r="C24" s="1157">
        <f>C25+C28</f>
        <v>921111</v>
      </c>
      <c r="D24" s="1157">
        <f>D25+D28</f>
        <v>21438</v>
      </c>
      <c r="E24" s="1157">
        <f>E25+E28</f>
        <v>942549</v>
      </c>
      <c r="F24" s="1157">
        <f>F25+F28</f>
        <v>-39197</v>
      </c>
      <c r="G24" s="1157">
        <f t="shared" si="5"/>
        <v>903352</v>
      </c>
      <c r="H24" s="1157">
        <f>H25+H28</f>
        <v>20162</v>
      </c>
      <c r="I24" s="1157">
        <f t="shared" si="6"/>
        <v>923514</v>
      </c>
      <c r="J24" s="1157">
        <f t="shared" ref="J24:O24" si="8">J25+J28</f>
        <v>-137176</v>
      </c>
      <c r="K24" s="1157">
        <f t="shared" si="8"/>
        <v>936338</v>
      </c>
      <c r="L24" s="1157">
        <f t="shared" si="8"/>
        <v>-19933</v>
      </c>
      <c r="M24" s="1157">
        <f t="shared" si="8"/>
        <v>916405</v>
      </c>
      <c r="N24" s="1157">
        <f t="shared" si="8"/>
        <v>568080</v>
      </c>
      <c r="O24" s="1157">
        <f t="shared" si="8"/>
        <v>348325.25</v>
      </c>
      <c r="P24" s="1158"/>
      <c r="Q24" s="109">
        <f t="shared" si="1"/>
        <v>916405.25</v>
      </c>
    </row>
    <row r="25" spans="1:18" s="110" customFormat="1" ht="24.95" customHeight="1" x14ac:dyDescent="0.25">
      <c r="A25" s="500" t="s">
        <v>447</v>
      </c>
      <c r="B25" s="502" t="s">
        <v>448</v>
      </c>
      <c r="C25" s="1157">
        <f>C26+C27</f>
        <v>64100</v>
      </c>
      <c r="D25" s="1157">
        <f>D26+D27</f>
        <v>20679</v>
      </c>
      <c r="E25" s="1157">
        <f>E26+E27</f>
        <v>84779</v>
      </c>
      <c r="F25" s="1157">
        <f>F26+F27</f>
        <v>0</v>
      </c>
      <c r="G25" s="1157">
        <f>G26+G27</f>
        <v>84779</v>
      </c>
      <c r="H25" s="1157"/>
      <c r="I25" s="1157">
        <f>I26+I27</f>
        <v>84779</v>
      </c>
      <c r="J25" s="1157"/>
      <c r="K25" s="1157">
        <f>K26+K27</f>
        <v>84779</v>
      </c>
      <c r="L25" s="1157"/>
      <c r="M25" s="1157">
        <f>M26+M27</f>
        <v>84779</v>
      </c>
      <c r="N25" s="1157">
        <v>63585</v>
      </c>
      <c r="O25" s="1157">
        <f>O26+O27</f>
        <v>21194.25</v>
      </c>
      <c r="P25" s="1158"/>
      <c r="Q25" s="109">
        <f t="shared" si="1"/>
        <v>84779.25</v>
      </c>
    </row>
    <row r="26" spans="1:18" s="1251" customFormat="1" ht="20.100000000000001" customHeight="1" x14ac:dyDescent="0.25">
      <c r="A26" s="504"/>
      <c r="B26" s="517" t="s">
        <v>1</v>
      </c>
      <c r="C26" s="1247">
        <v>47100</v>
      </c>
      <c r="D26" s="1247">
        <f>52449-47100</f>
        <v>5349</v>
      </c>
      <c r="E26" s="1247">
        <f>C26+D26</f>
        <v>52449</v>
      </c>
      <c r="F26" s="1247"/>
      <c r="G26" s="1247">
        <f>E26+F26</f>
        <v>52449</v>
      </c>
      <c r="H26" s="1247"/>
      <c r="I26" s="1247">
        <f>G26+H26</f>
        <v>52449</v>
      </c>
      <c r="J26" s="1247"/>
      <c r="K26" s="1247">
        <f>I26+J26</f>
        <v>52449</v>
      </c>
      <c r="L26" s="1247"/>
      <c r="M26" s="1247">
        <f>K26+L26</f>
        <v>52449</v>
      </c>
      <c r="N26" s="1247">
        <f>M26*0.75</f>
        <v>39336.75</v>
      </c>
      <c r="O26" s="1248">
        <f>E26-N26</f>
        <v>13112.25</v>
      </c>
      <c r="P26" s="1249"/>
      <c r="Q26" s="1250">
        <f t="shared" si="1"/>
        <v>52449</v>
      </c>
    </row>
    <row r="27" spans="1:18" s="1251" customFormat="1" ht="20.100000000000001" customHeight="1" x14ac:dyDescent="0.25">
      <c r="A27" s="504"/>
      <c r="B27" s="517" t="s">
        <v>171</v>
      </c>
      <c r="C27" s="1247">
        <v>17000</v>
      </c>
      <c r="D27" s="1247">
        <f>32330-17000</f>
        <v>15330</v>
      </c>
      <c r="E27" s="1247">
        <f>C27+D27</f>
        <v>32330</v>
      </c>
      <c r="F27" s="1247"/>
      <c r="G27" s="1247">
        <f>E27+F27</f>
        <v>32330</v>
      </c>
      <c r="H27" s="1247"/>
      <c r="I27" s="1247">
        <f>G27+H27</f>
        <v>32330</v>
      </c>
      <c r="J27" s="1247"/>
      <c r="K27" s="1247">
        <f>I27+J27</f>
        <v>32330</v>
      </c>
      <c r="L27" s="1247"/>
      <c r="M27" s="1247">
        <f>K27+L27</f>
        <v>32330</v>
      </c>
      <c r="N27" s="1247">
        <f>E27*0.75</f>
        <v>24247.5</v>
      </c>
      <c r="O27" s="1248">
        <v>8082</v>
      </c>
      <c r="P27" s="1249"/>
      <c r="Q27" s="1250">
        <f t="shared" si="1"/>
        <v>32329.5</v>
      </c>
    </row>
    <row r="28" spans="1:18" s="110" customFormat="1" ht="24.95" customHeight="1" thickBot="1" x14ac:dyDescent="0.3">
      <c r="A28" s="506" t="s">
        <v>449</v>
      </c>
      <c r="B28" s="518" t="s">
        <v>450</v>
      </c>
      <c r="C28" s="1165">
        <v>857011</v>
      </c>
      <c r="D28" s="1165">
        <v>759</v>
      </c>
      <c r="E28" s="1157">
        <f>C28+D28</f>
        <v>857770</v>
      </c>
      <c r="F28" s="1165">
        <f>303-39500</f>
        <v>-39197</v>
      </c>
      <c r="G28" s="1157">
        <f>E28+F28</f>
        <v>818573</v>
      </c>
      <c r="H28" s="1165">
        <f>162+20000</f>
        <v>20162</v>
      </c>
      <c r="I28" s="1165">
        <f>G28+H28</f>
        <v>838735</v>
      </c>
      <c r="J28" s="1165">
        <f>82+3000-150000+10160-418</f>
        <v>-137176</v>
      </c>
      <c r="K28" s="1165">
        <f>I28+J28+150000</f>
        <v>851559</v>
      </c>
      <c r="L28" s="1165">
        <f>67-20000</f>
        <v>-19933</v>
      </c>
      <c r="M28" s="1165">
        <f>K28+L28</f>
        <v>831626</v>
      </c>
      <c r="N28" s="1165">
        <v>504495</v>
      </c>
      <c r="O28" s="1166">
        <v>327131</v>
      </c>
      <c r="P28" s="1167"/>
      <c r="Q28" s="109">
        <f t="shared" si="1"/>
        <v>831626</v>
      </c>
    </row>
    <row r="29" spans="1:18" s="113" customFormat="1" ht="30" customHeight="1" thickBot="1" x14ac:dyDescent="0.3">
      <c r="A29" s="1604" t="s">
        <v>2</v>
      </c>
      <c r="B29" s="1605"/>
      <c r="C29" s="1168">
        <f t="shared" ref="C29:P29" si="9">C3+C4+C5+C10+C21+C22+C23+C24</f>
        <v>952381</v>
      </c>
      <c r="D29" s="1168" t="e">
        <f t="shared" si="9"/>
        <v>#REF!</v>
      </c>
      <c r="E29" s="1168">
        <f t="shared" si="9"/>
        <v>981256</v>
      </c>
      <c r="F29" s="1168">
        <f t="shared" si="9"/>
        <v>-37737</v>
      </c>
      <c r="G29" s="1168">
        <f t="shared" si="9"/>
        <v>943519</v>
      </c>
      <c r="H29" s="1168">
        <f t="shared" ref="H29:M29" si="10">H3+H4+H5+H10+H21+H22+H23+H24</f>
        <v>23761</v>
      </c>
      <c r="I29" s="1168">
        <f t="shared" si="10"/>
        <v>967280</v>
      </c>
      <c r="J29" s="1168">
        <f t="shared" si="10"/>
        <v>-137176</v>
      </c>
      <c r="K29" s="1168">
        <f t="shared" si="10"/>
        <v>980104</v>
      </c>
      <c r="L29" s="1168">
        <f>L3+L4+L5+L10+L21+L22+L23+L24</f>
        <v>-20933</v>
      </c>
      <c r="M29" s="1168">
        <f t="shared" si="10"/>
        <v>959171</v>
      </c>
      <c r="N29" s="1168">
        <f t="shared" si="9"/>
        <v>578254</v>
      </c>
      <c r="O29" s="1168">
        <f t="shared" si="9"/>
        <v>380917.25</v>
      </c>
      <c r="P29" s="1169">
        <f t="shared" si="9"/>
        <v>0</v>
      </c>
      <c r="Q29" s="109">
        <f t="shared" si="1"/>
        <v>959171.25</v>
      </c>
      <c r="R29" s="1107" t="s">
        <v>99</v>
      </c>
    </row>
    <row r="31" spans="1:18" x14ac:dyDescent="0.2"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</row>
    <row r="32" spans="1:18" x14ac:dyDescent="0.2">
      <c r="B32" s="4" t="s">
        <v>99</v>
      </c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O32" s="595" t="s">
        <v>99</v>
      </c>
    </row>
    <row r="33" spans="2:18" x14ac:dyDescent="0.2">
      <c r="C33" s="599" t="s">
        <v>99</v>
      </c>
      <c r="D33" s="599"/>
      <c r="E33" s="599"/>
      <c r="F33" s="599"/>
      <c r="G33" s="599"/>
      <c r="H33" s="599"/>
      <c r="I33" s="599"/>
      <c r="J33" s="599"/>
      <c r="K33" s="599"/>
      <c r="L33" s="599"/>
      <c r="M33" s="599"/>
    </row>
    <row r="34" spans="2:18" x14ac:dyDescent="0.2">
      <c r="B34" s="4" t="s">
        <v>99</v>
      </c>
    </row>
    <row r="36" spans="2:18" x14ac:dyDescent="0.2">
      <c r="E36" s="117" t="s">
        <v>99</v>
      </c>
      <c r="R36" s="596" t="s">
        <v>99</v>
      </c>
    </row>
    <row r="37" spans="2:18" x14ac:dyDescent="0.2">
      <c r="R37" s="597" t="s">
        <v>99</v>
      </c>
    </row>
    <row r="38" spans="2:18" x14ac:dyDescent="0.2">
      <c r="R38" s="598" t="s">
        <v>99</v>
      </c>
    </row>
  </sheetData>
  <protectedRanges>
    <protectedRange sqref="P3:P5 O21:P23 P10:P20" name="Tartomány21_1"/>
    <protectedRange sqref="P24:P25 O26:P28" name="Tartomány11_1"/>
    <protectedRange sqref="C22:D22 N22" name="Tartomány2_1"/>
  </protectedRanges>
  <mergeCells count="2">
    <mergeCell ref="A29:B29"/>
    <mergeCell ref="A1:P1"/>
  </mergeCells>
  <phoneticPr fontId="13" type="noConversion"/>
  <printOptions horizontalCentered="1"/>
  <pageMargins left="0.70866141732283472" right="0.70866141732283472" top="0.59055118110236227" bottom="0.59055118110236227" header="0.31496062992125984" footer="0.31496062992125984"/>
  <pageSetup paperSize="9" scale="68" orientation="landscape" r:id="rId1"/>
  <headerFooter alignWithMargins="0">
    <oddHeader>&amp;L&amp;"Arial,Dőlt"&amp;11 &amp;U6. melléklet a 3/2014. (II.15.) önkormányzati rendelethez</oddHeader>
    <oddFooter>&amp;C Nagykőrös Város Önkormányzat 2014. évi költségvetési rendeletének V. sz. módosítása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A190"/>
  <sheetViews>
    <sheetView view="pageLayout" topLeftCell="S133" zoomScaleNormal="100" zoomScaleSheetLayoutView="100" workbookViewId="0">
      <selection activeCell="U179" sqref="U179"/>
    </sheetView>
  </sheetViews>
  <sheetFormatPr defaultColWidth="9.140625" defaultRowHeight="12.75" x14ac:dyDescent="0.2"/>
  <cols>
    <col min="1" max="1" width="6.42578125" style="2" bestFit="1" customWidth="1"/>
    <col min="2" max="2" width="53.140625" style="2" customWidth="1"/>
    <col min="3" max="3" width="15.140625" style="1" customWidth="1"/>
    <col min="4" max="4" width="16.28515625" style="1" hidden="1" customWidth="1"/>
    <col min="5" max="5" width="15.140625" style="1" hidden="1" customWidth="1"/>
    <col min="6" max="6" width="14.5703125" style="1" hidden="1" customWidth="1"/>
    <col min="7" max="10" width="15.140625" style="1" hidden="1" customWidth="1"/>
    <col min="11" max="14" width="15.140625" style="1" customWidth="1"/>
    <col min="15" max="15" width="14.5703125" style="2" customWidth="1"/>
    <col min="16" max="16" width="11.42578125" style="3" customWidth="1"/>
    <col min="17" max="18" width="0" style="29" hidden="1" customWidth="1"/>
    <col min="19" max="19" width="13.7109375" style="29" customWidth="1"/>
    <col min="20" max="16384" width="9.140625" style="1"/>
  </cols>
  <sheetData>
    <row r="1" spans="1:27" ht="56.25" customHeight="1" thickBot="1" x14ac:dyDescent="0.25">
      <c r="A1" s="1628" t="s">
        <v>457</v>
      </c>
      <c r="B1" s="1628"/>
      <c r="C1" s="1628"/>
      <c r="D1" s="1628"/>
      <c r="E1" s="1628"/>
      <c r="F1" s="1628"/>
      <c r="G1" s="1628"/>
      <c r="H1" s="1628"/>
      <c r="I1" s="1628"/>
      <c r="J1" s="1628"/>
      <c r="K1" s="1628"/>
      <c r="L1" s="1628"/>
      <c r="M1" s="1628"/>
      <c r="N1" s="1628"/>
      <c r="O1" s="1628"/>
      <c r="P1" s="1628"/>
    </row>
    <row r="2" spans="1:27" s="519" customFormat="1" ht="48.75" customHeight="1" thickBot="1" x14ac:dyDescent="0.25">
      <c r="A2" s="1405" t="s">
        <v>131</v>
      </c>
      <c r="B2" s="1406" t="s">
        <v>132</v>
      </c>
      <c r="C2" s="511" t="s">
        <v>289</v>
      </c>
      <c r="D2" s="685" t="s">
        <v>152</v>
      </c>
      <c r="E2" s="511" t="s">
        <v>885</v>
      </c>
      <c r="F2" s="511" t="s">
        <v>879</v>
      </c>
      <c r="G2" s="685" t="s">
        <v>934</v>
      </c>
      <c r="H2" s="511" t="s">
        <v>881</v>
      </c>
      <c r="I2" s="511" t="s">
        <v>932</v>
      </c>
      <c r="J2" s="511" t="s">
        <v>881</v>
      </c>
      <c r="K2" s="511" t="s">
        <v>932</v>
      </c>
      <c r="L2" s="511" t="s">
        <v>881</v>
      </c>
      <c r="M2" s="511" t="s">
        <v>880</v>
      </c>
      <c r="N2" s="512" t="s">
        <v>325</v>
      </c>
      <c r="O2" s="512" t="s">
        <v>326</v>
      </c>
      <c r="P2" s="513" t="s">
        <v>308</v>
      </c>
      <c r="Q2" s="687" t="s">
        <v>135</v>
      </c>
      <c r="R2" s="688" t="s">
        <v>135</v>
      </c>
      <c r="S2" s="689"/>
    </row>
    <row r="3" spans="1:27" s="520" customFormat="1" ht="24" customHeight="1" thickBot="1" x14ac:dyDescent="0.25">
      <c r="A3" s="697" t="s">
        <v>223</v>
      </c>
      <c r="B3" s="1420" t="s">
        <v>493</v>
      </c>
      <c r="C3" s="1417"/>
      <c r="D3" s="1417"/>
      <c r="E3" s="1417"/>
      <c r="F3" s="1417"/>
      <c r="G3" s="1417"/>
      <c r="H3" s="1417"/>
      <c r="I3" s="1417"/>
      <c r="J3" s="1475"/>
      <c r="K3" s="1475"/>
      <c r="L3" s="1522"/>
      <c r="M3" s="1522"/>
      <c r="N3" s="1635"/>
      <c r="O3" s="1637"/>
      <c r="P3" s="1638"/>
      <c r="Q3" s="690"/>
      <c r="R3" s="691"/>
      <c r="S3" s="692"/>
      <c r="AA3" s="521"/>
    </row>
    <row r="4" spans="1:27" s="107" customFormat="1" ht="16.899999999999999" customHeight="1" x14ac:dyDescent="0.2">
      <c r="A4" s="1607"/>
      <c r="B4" s="527" t="s">
        <v>41</v>
      </c>
      <c r="C4" s="933">
        <v>37853</v>
      </c>
      <c r="D4" s="933">
        <f>413+142</f>
        <v>555</v>
      </c>
      <c r="E4" s="933">
        <f>C4+D4</f>
        <v>38408</v>
      </c>
      <c r="F4" s="933">
        <f>239+227+1268</f>
        <v>1734</v>
      </c>
      <c r="G4" s="933">
        <f>E4+F4</f>
        <v>40142</v>
      </c>
      <c r="H4" s="933">
        <f>3493+156</f>
        <v>3649</v>
      </c>
      <c r="I4" s="933">
        <f>G4+H4</f>
        <v>43791</v>
      </c>
      <c r="J4" s="933">
        <f>2190+78</f>
        <v>2268</v>
      </c>
      <c r="K4" s="933">
        <f>I4+J4</f>
        <v>46059</v>
      </c>
      <c r="L4" s="933">
        <f>78+700</f>
        <v>778</v>
      </c>
      <c r="M4" s="933">
        <f>K4+L4</f>
        <v>46837</v>
      </c>
      <c r="N4" s="933">
        <v>46837</v>
      </c>
      <c r="O4" s="933">
        <v>0</v>
      </c>
      <c r="P4" s="934">
        <v>0</v>
      </c>
      <c r="Q4" s="935"/>
      <c r="R4" s="936"/>
      <c r="S4" s="937">
        <f>N4+O4+P4</f>
        <v>46837</v>
      </c>
      <c r="AA4" s="522"/>
    </row>
    <row r="5" spans="1:27" s="107" customFormat="1" ht="31.5" x14ac:dyDescent="0.2">
      <c r="A5" s="1608"/>
      <c r="B5" s="528" t="s">
        <v>309</v>
      </c>
      <c r="C5" s="938">
        <v>10380</v>
      </c>
      <c r="D5" s="938">
        <f>112+19</f>
        <v>131</v>
      </c>
      <c r="E5" s="933">
        <f>C5+D5</f>
        <v>10511</v>
      </c>
      <c r="F5" s="933">
        <f>64+30+418</f>
        <v>512</v>
      </c>
      <c r="G5" s="933">
        <f t="shared" ref="G5:G14" si="0">E5+F5</f>
        <v>11023</v>
      </c>
      <c r="H5" s="933">
        <f>472+42</f>
        <v>514</v>
      </c>
      <c r="I5" s="933">
        <f t="shared" ref="I5:I15" si="1">G5+H5</f>
        <v>11537</v>
      </c>
      <c r="J5" s="933">
        <f>-424+21</f>
        <v>-403</v>
      </c>
      <c r="K5" s="933">
        <f>I5+J5</f>
        <v>11134</v>
      </c>
      <c r="L5" s="933">
        <f>21-700</f>
        <v>-679</v>
      </c>
      <c r="M5" s="933">
        <f>K5+L5</f>
        <v>10455</v>
      </c>
      <c r="N5" s="933">
        <v>10455</v>
      </c>
      <c r="O5" s="938">
        <v>0</v>
      </c>
      <c r="P5" s="939">
        <v>0</v>
      </c>
      <c r="Q5" s="935"/>
      <c r="R5" s="936"/>
      <c r="S5" s="937">
        <f t="shared" ref="S5:S67" si="2">N5+O5+P5</f>
        <v>10455</v>
      </c>
      <c r="AA5" s="522"/>
    </row>
    <row r="6" spans="1:27" s="107" customFormat="1" ht="16.899999999999999" customHeight="1" x14ac:dyDescent="0.2">
      <c r="A6" s="1608"/>
      <c r="B6" s="528" t="s">
        <v>133</v>
      </c>
      <c r="C6" s="938">
        <v>35800</v>
      </c>
      <c r="D6" s="938">
        <f>2552+3621+280+1661-1661</f>
        <v>6453</v>
      </c>
      <c r="E6" s="933">
        <f>C6+D6</f>
        <v>42253</v>
      </c>
      <c r="F6" s="933">
        <f>918+313+1500+650+9777+200+8000</f>
        <v>21358</v>
      </c>
      <c r="G6" s="933">
        <f t="shared" si="0"/>
        <v>63611</v>
      </c>
      <c r="H6" s="933">
        <f>3476-2944</f>
        <v>532</v>
      </c>
      <c r="I6" s="933">
        <f t="shared" si="1"/>
        <v>64143</v>
      </c>
      <c r="J6" s="933">
        <f>1420+3602</f>
        <v>5022</v>
      </c>
      <c r="K6" s="933">
        <f>I6+J6</f>
        <v>69165</v>
      </c>
      <c r="L6" s="933">
        <f>600+4385+1200</f>
        <v>6185</v>
      </c>
      <c r="M6" s="933">
        <f>K6+L6</f>
        <v>75350</v>
      </c>
      <c r="N6" s="933">
        <v>75350</v>
      </c>
      <c r="O6" s="938">
        <v>0</v>
      </c>
      <c r="P6" s="939">
        <v>0</v>
      </c>
      <c r="Q6" s="935"/>
      <c r="R6" s="936"/>
      <c r="S6" s="937">
        <f t="shared" si="2"/>
        <v>75350</v>
      </c>
      <c r="AA6" s="522"/>
    </row>
    <row r="7" spans="1:27" s="107" customFormat="1" ht="16.899999999999999" customHeight="1" x14ac:dyDescent="0.2">
      <c r="A7" s="1608"/>
      <c r="B7" s="528" t="s">
        <v>43</v>
      </c>
      <c r="C7" s="938">
        <v>0</v>
      </c>
      <c r="D7" s="938"/>
      <c r="E7" s="933">
        <f>C7+D7</f>
        <v>0</v>
      </c>
      <c r="F7" s="933"/>
      <c r="G7" s="933">
        <f t="shared" si="0"/>
        <v>0</v>
      </c>
      <c r="H7" s="933"/>
      <c r="I7" s="933">
        <f t="shared" si="1"/>
        <v>0</v>
      </c>
      <c r="J7" s="933"/>
      <c r="K7" s="933">
        <f>I7+J7</f>
        <v>0</v>
      </c>
      <c r="L7" s="933"/>
      <c r="M7" s="933">
        <f>K7+L7</f>
        <v>0</v>
      </c>
      <c r="N7" s="933">
        <f>K7</f>
        <v>0</v>
      </c>
      <c r="O7" s="938">
        <v>0</v>
      </c>
      <c r="P7" s="939">
        <v>0</v>
      </c>
      <c r="Q7" s="935"/>
      <c r="R7" s="936"/>
      <c r="S7" s="937">
        <f t="shared" si="2"/>
        <v>0</v>
      </c>
      <c r="AA7" s="522"/>
    </row>
    <row r="8" spans="1:27" s="107" customFormat="1" ht="16.899999999999999" customHeight="1" x14ac:dyDescent="0.2">
      <c r="A8" s="1608"/>
      <c r="B8" s="528" t="s">
        <v>368</v>
      </c>
      <c r="C8" s="938">
        <v>3000</v>
      </c>
      <c r="D8" s="938">
        <v>-3000</v>
      </c>
      <c r="E8" s="933">
        <f>C8+D8</f>
        <v>0</v>
      </c>
      <c r="F8" s="933"/>
      <c r="G8" s="933">
        <f t="shared" si="0"/>
        <v>0</v>
      </c>
      <c r="H8" s="933">
        <v>1444</v>
      </c>
      <c r="I8" s="933">
        <f t="shared" si="1"/>
        <v>1444</v>
      </c>
      <c r="J8" s="933"/>
      <c r="K8" s="933">
        <f>I8+J8</f>
        <v>1444</v>
      </c>
      <c r="L8" s="933"/>
      <c r="M8" s="933">
        <f>K8+L8</f>
        <v>1444</v>
      </c>
      <c r="N8" s="933">
        <f>I8</f>
        <v>1444</v>
      </c>
      <c r="O8" s="938">
        <v>0</v>
      </c>
      <c r="P8" s="939">
        <v>0</v>
      </c>
      <c r="Q8" s="935"/>
      <c r="R8" s="936"/>
      <c r="S8" s="937">
        <f t="shared" si="2"/>
        <v>1444</v>
      </c>
      <c r="AA8" s="522"/>
    </row>
    <row r="9" spans="1:27" s="494" customFormat="1" ht="16.899999999999999" customHeight="1" x14ac:dyDescent="0.2">
      <c r="A9" s="1608"/>
      <c r="B9" s="529" t="s">
        <v>369</v>
      </c>
      <c r="C9" s="940">
        <f t="shared" ref="C9:G9" si="3">SUM(C4:C8)</f>
        <v>87033</v>
      </c>
      <c r="D9" s="940">
        <f t="shared" si="3"/>
        <v>4139</v>
      </c>
      <c r="E9" s="940">
        <f t="shared" si="3"/>
        <v>91172</v>
      </c>
      <c r="F9" s="940">
        <f t="shared" si="3"/>
        <v>23604</v>
      </c>
      <c r="G9" s="940">
        <f t="shared" si="3"/>
        <v>114776</v>
      </c>
      <c r="H9" s="940">
        <f>SUM(H4:H8)</f>
        <v>6139</v>
      </c>
      <c r="I9" s="958">
        <f t="shared" si="1"/>
        <v>120915</v>
      </c>
      <c r="J9" s="958">
        <f>SUM(J4:J8)</f>
        <v>6887</v>
      </c>
      <c r="K9" s="958">
        <f>SUM(K4:K8)</f>
        <v>127802</v>
      </c>
      <c r="L9" s="958">
        <f>SUM(L4:L8)</f>
        <v>6284</v>
      </c>
      <c r="M9" s="958">
        <f>SUM(M4:M8)</f>
        <v>134086</v>
      </c>
      <c r="N9" s="958">
        <f>M9</f>
        <v>134086</v>
      </c>
      <c r="O9" s="940">
        <f>SUM(O4:O7)</f>
        <v>0</v>
      </c>
      <c r="P9" s="941">
        <f>SUM(P4:P7)</f>
        <v>0</v>
      </c>
      <c r="Q9" s="942"/>
      <c r="R9" s="943"/>
      <c r="S9" s="937">
        <f t="shared" si="2"/>
        <v>134086</v>
      </c>
      <c r="AA9" s="522"/>
    </row>
    <row r="10" spans="1:27" s="107" customFormat="1" ht="16.899999999999999" customHeight="1" x14ac:dyDescent="0.2">
      <c r="A10" s="1608"/>
      <c r="B10" s="528" t="s">
        <v>370</v>
      </c>
      <c r="C10" s="938">
        <v>0</v>
      </c>
      <c r="D10" s="938">
        <f>134+96+300+1500</f>
        <v>2030</v>
      </c>
      <c r="E10" s="938">
        <f>C10+D10</f>
        <v>2030</v>
      </c>
      <c r="F10" s="938"/>
      <c r="G10" s="933">
        <f t="shared" si="0"/>
        <v>2030</v>
      </c>
      <c r="H10" s="933">
        <v>1500</v>
      </c>
      <c r="I10" s="933">
        <f t="shared" si="1"/>
        <v>3530</v>
      </c>
      <c r="J10" s="933">
        <f>298+424</f>
        <v>722</v>
      </c>
      <c r="K10" s="933">
        <f>I10+J10</f>
        <v>4252</v>
      </c>
      <c r="L10" s="933">
        <v>200</v>
      </c>
      <c r="M10" s="933">
        <f>K10+L10</f>
        <v>4452</v>
      </c>
      <c r="N10" s="933">
        <v>4452</v>
      </c>
      <c r="O10" s="938">
        <v>0</v>
      </c>
      <c r="P10" s="939">
        <v>0</v>
      </c>
      <c r="Q10" s="935"/>
      <c r="R10" s="936"/>
      <c r="S10" s="937">
        <f t="shared" si="2"/>
        <v>4452</v>
      </c>
      <c r="AA10" s="522"/>
    </row>
    <row r="11" spans="1:27" s="107" customFormat="1" ht="16.899999999999999" customHeight="1" x14ac:dyDescent="0.2">
      <c r="A11" s="1608"/>
      <c r="B11" s="528" t="s">
        <v>55</v>
      </c>
      <c r="C11" s="938">
        <v>0</v>
      </c>
      <c r="D11" s="938">
        <v>1000</v>
      </c>
      <c r="E11" s="938">
        <f>C11+D11</f>
        <v>1000</v>
      </c>
      <c r="F11" s="938"/>
      <c r="G11" s="933">
        <f t="shared" si="0"/>
        <v>1000</v>
      </c>
      <c r="H11" s="933"/>
      <c r="I11" s="933">
        <f t="shared" si="1"/>
        <v>1000</v>
      </c>
      <c r="J11" s="933"/>
      <c r="K11" s="933">
        <f>I11+J11</f>
        <v>1000</v>
      </c>
      <c r="L11" s="933">
        <v>-200</v>
      </c>
      <c r="M11" s="933">
        <f>K11+L11</f>
        <v>800</v>
      </c>
      <c r="N11" s="933">
        <v>800</v>
      </c>
      <c r="O11" s="938">
        <v>0</v>
      </c>
      <c r="P11" s="939">
        <v>0</v>
      </c>
      <c r="Q11" s="935"/>
      <c r="R11" s="936"/>
      <c r="S11" s="937">
        <f t="shared" si="2"/>
        <v>800</v>
      </c>
      <c r="AA11" s="522"/>
    </row>
    <row r="12" spans="1:27" s="107" customFormat="1" ht="16.899999999999999" customHeight="1" x14ac:dyDescent="0.2">
      <c r="A12" s="1608"/>
      <c r="B12" s="528" t="s">
        <v>371</v>
      </c>
      <c r="C12" s="938">
        <v>0</v>
      </c>
      <c r="D12" s="938">
        <v>0</v>
      </c>
      <c r="E12" s="938">
        <f>C12+D12</f>
        <v>0</v>
      </c>
      <c r="F12" s="938"/>
      <c r="G12" s="933">
        <f t="shared" si="0"/>
        <v>0</v>
      </c>
      <c r="H12" s="933"/>
      <c r="I12" s="933">
        <f t="shared" si="1"/>
        <v>0</v>
      </c>
      <c r="J12" s="933"/>
      <c r="K12" s="933">
        <f>I12+J12</f>
        <v>0</v>
      </c>
      <c r="L12" s="933"/>
      <c r="M12" s="933">
        <f>K12+L12</f>
        <v>0</v>
      </c>
      <c r="N12" s="933">
        <f>K12</f>
        <v>0</v>
      </c>
      <c r="O12" s="938">
        <v>0</v>
      </c>
      <c r="P12" s="939">
        <v>0</v>
      </c>
      <c r="Q12" s="935"/>
      <c r="R12" s="936"/>
      <c r="S12" s="937">
        <f t="shared" si="2"/>
        <v>0</v>
      </c>
      <c r="AA12" s="522"/>
    </row>
    <row r="13" spans="1:27" s="494" customFormat="1" ht="16.899999999999999" customHeight="1" x14ac:dyDescent="0.2">
      <c r="A13" s="1608"/>
      <c r="B13" s="529" t="s">
        <v>372</v>
      </c>
      <c r="C13" s="940">
        <f t="shared" ref="C13:P13" si="4">SUM(C10:C12)</f>
        <v>0</v>
      </c>
      <c r="D13" s="940">
        <f t="shared" si="4"/>
        <v>3030</v>
      </c>
      <c r="E13" s="940">
        <f t="shared" si="4"/>
        <v>3030</v>
      </c>
      <c r="F13" s="940">
        <f t="shared" si="4"/>
        <v>0</v>
      </c>
      <c r="G13" s="940">
        <f t="shared" si="4"/>
        <v>3030</v>
      </c>
      <c r="H13" s="940">
        <f>SUM(H10:H12)</f>
        <v>1500</v>
      </c>
      <c r="I13" s="958">
        <f t="shared" si="1"/>
        <v>4530</v>
      </c>
      <c r="J13" s="958">
        <f>SUM(J10:J12)</f>
        <v>722</v>
      </c>
      <c r="K13" s="958">
        <f>SUM(K10:K12)</f>
        <v>5252</v>
      </c>
      <c r="L13" s="958">
        <f>SUM(L10:L12)</f>
        <v>0</v>
      </c>
      <c r="M13" s="958">
        <f>SUM(M10:M12)</f>
        <v>5252</v>
      </c>
      <c r="N13" s="958">
        <f>K13</f>
        <v>5252</v>
      </c>
      <c r="O13" s="940">
        <f t="shared" si="4"/>
        <v>0</v>
      </c>
      <c r="P13" s="941">
        <f t="shared" si="4"/>
        <v>0</v>
      </c>
      <c r="Q13" s="942"/>
      <c r="R13" s="943"/>
      <c r="S13" s="937">
        <f t="shared" si="2"/>
        <v>5252</v>
      </c>
      <c r="AA13" s="522"/>
    </row>
    <row r="14" spans="1:27" s="107" customFormat="1" ht="16.899999999999999" customHeight="1" thickBot="1" x14ac:dyDescent="0.25">
      <c r="A14" s="1608"/>
      <c r="B14" s="695" t="s">
        <v>139</v>
      </c>
      <c r="C14" s="944"/>
      <c r="D14" s="944">
        <v>0</v>
      </c>
      <c r="E14" s="944">
        <f>C14+D14</f>
        <v>0</v>
      </c>
      <c r="F14" s="944"/>
      <c r="G14" s="1418">
        <f t="shared" si="0"/>
        <v>0</v>
      </c>
      <c r="H14" s="1418"/>
      <c r="I14" s="1418">
        <f t="shared" si="1"/>
        <v>0</v>
      </c>
      <c r="J14" s="1418"/>
      <c r="K14" s="1418">
        <f>I14+J14</f>
        <v>0</v>
      </c>
      <c r="L14" s="1418"/>
      <c r="M14" s="1418">
        <f>K14+L14</f>
        <v>0</v>
      </c>
      <c r="N14" s="1418">
        <f>K14</f>
        <v>0</v>
      </c>
      <c r="O14" s="945"/>
      <c r="P14" s="946"/>
      <c r="Q14" s="935"/>
      <c r="R14" s="936"/>
      <c r="S14" s="937">
        <f t="shared" si="2"/>
        <v>0</v>
      </c>
      <c r="AA14" s="523"/>
    </row>
    <row r="15" spans="1:27" s="494" customFormat="1" ht="16.899999999999999" customHeight="1" thickBot="1" x14ac:dyDescent="0.25">
      <c r="A15" s="1609"/>
      <c r="B15" s="1421" t="s">
        <v>134</v>
      </c>
      <c r="C15" s="947">
        <f t="shared" ref="C15:P15" si="5">C9+C13+C14</f>
        <v>87033</v>
      </c>
      <c r="D15" s="947">
        <f t="shared" si="5"/>
        <v>7169</v>
      </c>
      <c r="E15" s="947">
        <f t="shared" si="5"/>
        <v>94202</v>
      </c>
      <c r="F15" s="947">
        <f t="shared" si="5"/>
        <v>23604</v>
      </c>
      <c r="G15" s="947">
        <f t="shared" si="5"/>
        <v>117806</v>
      </c>
      <c r="H15" s="947">
        <f>H9+H13+H14</f>
        <v>7639</v>
      </c>
      <c r="I15" s="947">
        <f t="shared" si="1"/>
        <v>125445</v>
      </c>
      <c r="J15" s="947">
        <f>J9+J13+J14</f>
        <v>7609</v>
      </c>
      <c r="K15" s="947">
        <f>K9+K13+K14</f>
        <v>133054</v>
      </c>
      <c r="L15" s="947">
        <f>L9+L13+L14</f>
        <v>6284</v>
      </c>
      <c r="M15" s="947">
        <f>M9+M13+M14</f>
        <v>139338</v>
      </c>
      <c r="N15" s="947">
        <f>M15</f>
        <v>139338</v>
      </c>
      <c r="O15" s="947">
        <f t="shared" si="5"/>
        <v>0</v>
      </c>
      <c r="P15" s="948">
        <f t="shared" si="5"/>
        <v>0</v>
      </c>
      <c r="Q15" s="942"/>
      <c r="R15" s="943"/>
      <c r="S15" s="937">
        <f t="shared" si="2"/>
        <v>139338</v>
      </c>
      <c r="AA15" s="522"/>
    </row>
    <row r="16" spans="1:27" s="520" customFormat="1" ht="24" customHeight="1" thickBot="1" x14ac:dyDescent="0.25">
      <c r="A16" s="697" t="s">
        <v>224</v>
      </c>
      <c r="B16" s="1629" t="s">
        <v>492</v>
      </c>
      <c r="C16" s="1630"/>
      <c r="D16" s="1630"/>
      <c r="E16" s="1630"/>
      <c r="F16" s="1630"/>
      <c r="G16" s="1630"/>
      <c r="H16" s="1630"/>
      <c r="I16" s="1630"/>
      <c r="J16" s="1630"/>
      <c r="K16" s="1630"/>
      <c r="L16" s="1630"/>
      <c r="M16" s="1630"/>
      <c r="N16" s="1630"/>
      <c r="O16" s="1630"/>
      <c r="P16" s="1631"/>
      <c r="Q16" s="690"/>
      <c r="R16" s="698"/>
      <c r="S16" s="694"/>
    </row>
    <row r="17" spans="1:27" s="107" customFormat="1" ht="16.899999999999999" customHeight="1" x14ac:dyDescent="0.2">
      <c r="A17" s="1607"/>
      <c r="B17" s="527" t="s">
        <v>41</v>
      </c>
      <c r="C17" s="933">
        <v>141090</v>
      </c>
      <c r="D17" s="933">
        <f>1930+3219+520</f>
        <v>5669</v>
      </c>
      <c r="E17" s="933">
        <f>C17+D17</f>
        <v>146759</v>
      </c>
      <c r="F17" s="933">
        <f>1122+1780+1739</f>
        <v>4641</v>
      </c>
      <c r="G17" s="933">
        <f>E17+F17</f>
        <v>151400</v>
      </c>
      <c r="H17" s="933">
        <f>1677+735+1377</f>
        <v>3789</v>
      </c>
      <c r="I17" s="933">
        <f t="shared" ref="I17:I28" si="6">G17+H17</f>
        <v>155189</v>
      </c>
      <c r="J17" s="933">
        <f>950+372</f>
        <v>1322</v>
      </c>
      <c r="K17" s="933">
        <f>I17+J17</f>
        <v>156511</v>
      </c>
      <c r="L17" s="933">
        <f>411+353+2635</f>
        <v>3399</v>
      </c>
      <c r="M17" s="933">
        <f>K17+L17</f>
        <v>159910</v>
      </c>
      <c r="N17" s="933">
        <v>159910</v>
      </c>
      <c r="O17" s="933">
        <v>0</v>
      </c>
      <c r="P17" s="934">
        <v>0</v>
      </c>
      <c r="Q17" s="935"/>
      <c r="R17" s="949"/>
      <c r="S17" s="937">
        <f t="shared" si="2"/>
        <v>159910</v>
      </c>
    </row>
    <row r="18" spans="1:27" s="107" customFormat="1" ht="31.5" customHeight="1" x14ac:dyDescent="0.2">
      <c r="A18" s="1608"/>
      <c r="B18" s="528" t="s">
        <v>309</v>
      </c>
      <c r="C18" s="938">
        <v>38880</v>
      </c>
      <c r="D18" s="938">
        <f>521+869+69</f>
        <v>1459</v>
      </c>
      <c r="E18" s="933">
        <f>C18+D18</f>
        <v>40339</v>
      </c>
      <c r="F18" s="933">
        <f>303+242+469</f>
        <v>1014</v>
      </c>
      <c r="G18" s="933">
        <f t="shared" ref="G18:G27" si="7">E18+F18</f>
        <v>41353</v>
      </c>
      <c r="H18" s="933">
        <f>226+199+372</f>
        <v>797</v>
      </c>
      <c r="I18" s="933">
        <f t="shared" si="6"/>
        <v>42150</v>
      </c>
      <c r="J18" s="933">
        <f>120+100</f>
        <v>220</v>
      </c>
      <c r="K18" s="933">
        <f>I18+J18</f>
        <v>42370</v>
      </c>
      <c r="L18" s="933">
        <f>111+95</f>
        <v>206</v>
      </c>
      <c r="M18" s="933">
        <f>K18+L18</f>
        <v>42576</v>
      </c>
      <c r="N18" s="933">
        <v>42576</v>
      </c>
      <c r="O18" s="938">
        <v>0</v>
      </c>
      <c r="P18" s="939">
        <v>0</v>
      </c>
      <c r="Q18" s="935"/>
      <c r="R18" s="949"/>
      <c r="S18" s="937">
        <f t="shared" si="2"/>
        <v>42576</v>
      </c>
    </row>
    <row r="19" spans="1:27" s="107" customFormat="1" ht="16.899999999999999" customHeight="1" x14ac:dyDescent="0.2">
      <c r="A19" s="1608"/>
      <c r="B19" s="528" t="s">
        <v>133</v>
      </c>
      <c r="C19" s="938">
        <v>58350</v>
      </c>
      <c r="D19" s="938">
        <v>1600</v>
      </c>
      <c r="E19" s="933">
        <f>C19+D19</f>
        <v>59950</v>
      </c>
      <c r="F19" s="933">
        <v>2667</v>
      </c>
      <c r="G19" s="933">
        <f t="shared" si="7"/>
        <v>62617</v>
      </c>
      <c r="H19" s="933">
        <v>5013</v>
      </c>
      <c r="I19" s="933">
        <f t="shared" si="6"/>
        <v>67630</v>
      </c>
      <c r="J19" s="933">
        <v>-858</v>
      </c>
      <c r="K19" s="933">
        <f>I19+J19</f>
        <v>66772</v>
      </c>
      <c r="L19" s="933"/>
      <c r="M19" s="933">
        <f>K19+L19</f>
        <v>66772</v>
      </c>
      <c r="N19" s="933">
        <f t="shared" ref="N19:N27" si="8">K19</f>
        <v>66772</v>
      </c>
      <c r="O19" s="938">
        <v>0</v>
      </c>
      <c r="P19" s="939">
        <v>0</v>
      </c>
      <c r="Q19" s="935"/>
      <c r="R19" s="949"/>
      <c r="S19" s="937">
        <f t="shared" si="2"/>
        <v>66772</v>
      </c>
    </row>
    <row r="20" spans="1:27" s="107" customFormat="1" ht="16.899999999999999" customHeight="1" x14ac:dyDescent="0.2">
      <c r="A20" s="1608"/>
      <c r="B20" s="528" t="s">
        <v>43</v>
      </c>
      <c r="C20" s="938">
        <v>0</v>
      </c>
      <c r="D20" s="938"/>
      <c r="E20" s="933">
        <f>C20+D20</f>
        <v>0</v>
      </c>
      <c r="F20" s="933"/>
      <c r="G20" s="933">
        <f t="shared" si="7"/>
        <v>0</v>
      </c>
      <c r="H20" s="933"/>
      <c r="I20" s="933">
        <f t="shared" si="6"/>
        <v>0</v>
      </c>
      <c r="J20" s="933"/>
      <c r="K20" s="933">
        <f>I20+J20</f>
        <v>0</v>
      </c>
      <c r="L20" s="933"/>
      <c r="M20" s="933">
        <f>K20+L20</f>
        <v>0</v>
      </c>
      <c r="N20" s="933">
        <f t="shared" si="8"/>
        <v>0</v>
      </c>
      <c r="O20" s="938">
        <v>0</v>
      </c>
      <c r="P20" s="939">
        <v>0</v>
      </c>
      <c r="Q20" s="935"/>
      <c r="R20" s="949"/>
      <c r="S20" s="937">
        <f t="shared" si="2"/>
        <v>0</v>
      </c>
    </row>
    <row r="21" spans="1:27" s="107" customFormat="1" ht="16.899999999999999" customHeight="1" x14ac:dyDescent="0.2">
      <c r="A21" s="1608"/>
      <c r="B21" s="528" t="s">
        <v>368</v>
      </c>
      <c r="C21" s="938">
        <v>7000</v>
      </c>
      <c r="D21" s="938">
        <v>-7000</v>
      </c>
      <c r="E21" s="933">
        <f>C21+D21</f>
        <v>0</v>
      </c>
      <c r="F21" s="933"/>
      <c r="G21" s="933">
        <f t="shared" si="7"/>
        <v>0</v>
      </c>
      <c r="H21" s="933"/>
      <c r="I21" s="933">
        <f t="shared" si="6"/>
        <v>0</v>
      </c>
      <c r="J21" s="933"/>
      <c r="K21" s="933">
        <f>I21+J21</f>
        <v>0</v>
      </c>
      <c r="L21" s="933"/>
      <c r="M21" s="933">
        <f>K21+L21</f>
        <v>0</v>
      </c>
      <c r="N21" s="933">
        <f t="shared" si="8"/>
        <v>0</v>
      </c>
      <c r="O21" s="938">
        <v>0</v>
      </c>
      <c r="P21" s="939">
        <v>0</v>
      </c>
      <c r="Q21" s="935"/>
      <c r="R21" s="949"/>
      <c r="S21" s="937">
        <f t="shared" si="2"/>
        <v>0</v>
      </c>
    </row>
    <row r="22" spans="1:27" s="494" customFormat="1" ht="16.899999999999999" customHeight="1" x14ac:dyDescent="0.2">
      <c r="A22" s="1608"/>
      <c r="B22" s="529" t="s">
        <v>369</v>
      </c>
      <c r="C22" s="940">
        <f t="shared" ref="C22:O22" si="9">SUM(C17:C21)</f>
        <v>245320</v>
      </c>
      <c r="D22" s="940">
        <f t="shared" si="9"/>
        <v>1728</v>
      </c>
      <c r="E22" s="940">
        <f t="shared" si="9"/>
        <v>247048</v>
      </c>
      <c r="F22" s="940">
        <f t="shared" si="9"/>
        <v>8322</v>
      </c>
      <c r="G22" s="940">
        <f t="shared" si="9"/>
        <v>255370</v>
      </c>
      <c r="H22" s="940">
        <f>SUM(H17:H21)</f>
        <v>9599</v>
      </c>
      <c r="I22" s="958">
        <f t="shared" si="6"/>
        <v>264969</v>
      </c>
      <c r="J22" s="958">
        <f>SUM(J17:J21)</f>
        <v>684</v>
      </c>
      <c r="K22" s="958">
        <f>SUM(K17:K21)</f>
        <v>265653</v>
      </c>
      <c r="L22" s="958">
        <f>SUM(L17:L21)</f>
        <v>3605</v>
      </c>
      <c r="M22" s="958">
        <f>SUM(M17:M21)</f>
        <v>269258</v>
      </c>
      <c r="N22" s="958">
        <f>SUM(N17:N21)</f>
        <v>269258</v>
      </c>
      <c r="O22" s="940">
        <f t="shared" si="9"/>
        <v>0</v>
      </c>
      <c r="P22" s="941">
        <f>SUM(P17:P20)</f>
        <v>0</v>
      </c>
      <c r="Q22" s="942"/>
      <c r="R22" s="950"/>
      <c r="S22" s="937">
        <f t="shared" si="2"/>
        <v>269258</v>
      </c>
    </row>
    <row r="23" spans="1:27" s="107" customFormat="1" ht="16.899999999999999" customHeight="1" x14ac:dyDescent="0.2">
      <c r="A23" s="1608"/>
      <c r="B23" s="528" t="s">
        <v>370</v>
      </c>
      <c r="C23" s="938">
        <v>0</v>
      </c>
      <c r="D23" s="938">
        <f>921+456</f>
        <v>1377</v>
      </c>
      <c r="E23" s="938">
        <f>C23+D23</f>
        <v>1377</v>
      </c>
      <c r="F23" s="938"/>
      <c r="G23" s="933">
        <f t="shared" si="7"/>
        <v>1377</v>
      </c>
      <c r="H23" s="933"/>
      <c r="I23" s="933">
        <f t="shared" si="6"/>
        <v>1377</v>
      </c>
      <c r="J23" s="933">
        <v>858</v>
      </c>
      <c r="K23" s="933">
        <f>I23+J23</f>
        <v>2235</v>
      </c>
      <c r="L23" s="933">
        <v>384</v>
      </c>
      <c r="M23" s="933">
        <f>K23+L23</f>
        <v>2619</v>
      </c>
      <c r="N23" s="933">
        <v>2619</v>
      </c>
      <c r="O23" s="938">
        <v>0</v>
      </c>
      <c r="P23" s="939">
        <v>0</v>
      </c>
      <c r="Q23" s="935"/>
      <c r="R23" s="949"/>
      <c r="S23" s="937">
        <f t="shared" si="2"/>
        <v>2619</v>
      </c>
    </row>
    <row r="24" spans="1:27" s="107" customFormat="1" ht="16.899999999999999" customHeight="1" x14ac:dyDescent="0.2">
      <c r="A24" s="1608"/>
      <c r="B24" s="528" t="s">
        <v>55</v>
      </c>
      <c r="C24" s="938">
        <v>0</v>
      </c>
      <c r="D24" s="938">
        <v>8460</v>
      </c>
      <c r="E24" s="938">
        <f>C24+D24</f>
        <v>8460</v>
      </c>
      <c r="F24" s="938"/>
      <c r="G24" s="933">
        <f t="shared" si="7"/>
        <v>8460</v>
      </c>
      <c r="H24" s="933"/>
      <c r="I24" s="933">
        <f t="shared" si="6"/>
        <v>8460</v>
      </c>
      <c r="J24" s="933"/>
      <c r="K24" s="933">
        <f>I24+J24</f>
        <v>8460</v>
      </c>
      <c r="L24" s="933"/>
      <c r="M24" s="933">
        <f>K24+L24</f>
        <v>8460</v>
      </c>
      <c r="N24" s="933">
        <f t="shared" si="8"/>
        <v>8460</v>
      </c>
      <c r="O24" s="938">
        <v>0</v>
      </c>
      <c r="P24" s="939">
        <v>0</v>
      </c>
      <c r="Q24" s="935"/>
      <c r="R24" s="949"/>
      <c r="S24" s="937">
        <f t="shared" si="2"/>
        <v>8460</v>
      </c>
    </row>
    <row r="25" spans="1:27" s="107" customFormat="1" ht="16.899999999999999" customHeight="1" x14ac:dyDescent="0.2">
      <c r="A25" s="1608"/>
      <c r="B25" s="528" t="s">
        <v>371</v>
      </c>
      <c r="C25" s="938">
        <v>0</v>
      </c>
      <c r="D25" s="938"/>
      <c r="E25" s="938">
        <f>C25+D25</f>
        <v>0</v>
      </c>
      <c r="F25" s="938"/>
      <c r="G25" s="933">
        <f t="shared" si="7"/>
        <v>0</v>
      </c>
      <c r="H25" s="933"/>
      <c r="I25" s="933">
        <f t="shared" si="6"/>
        <v>0</v>
      </c>
      <c r="J25" s="933"/>
      <c r="K25" s="933">
        <f>I25+J25</f>
        <v>0</v>
      </c>
      <c r="L25" s="933"/>
      <c r="M25" s="933">
        <f>K25+L25</f>
        <v>0</v>
      </c>
      <c r="N25" s="933">
        <f t="shared" si="8"/>
        <v>0</v>
      </c>
      <c r="O25" s="938">
        <v>0</v>
      </c>
      <c r="P25" s="939">
        <v>0</v>
      </c>
      <c r="Q25" s="935"/>
      <c r="R25" s="949"/>
      <c r="S25" s="937">
        <f t="shared" si="2"/>
        <v>0</v>
      </c>
    </row>
    <row r="26" spans="1:27" s="494" customFormat="1" ht="16.899999999999999" customHeight="1" x14ac:dyDescent="0.2">
      <c r="A26" s="1608"/>
      <c r="B26" s="529" t="s">
        <v>372</v>
      </c>
      <c r="C26" s="940">
        <f t="shared" ref="C26:P26" si="10">SUM(C23:C25)</f>
        <v>0</v>
      </c>
      <c r="D26" s="940">
        <f t="shared" si="10"/>
        <v>9837</v>
      </c>
      <c r="E26" s="940">
        <f t="shared" si="10"/>
        <v>9837</v>
      </c>
      <c r="F26" s="940">
        <f t="shared" si="10"/>
        <v>0</v>
      </c>
      <c r="G26" s="940">
        <f t="shared" si="10"/>
        <v>9837</v>
      </c>
      <c r="H26" s="940">
        <f>SUM(H23:H25)</f>
        <v>0</v>
      </c>
      <c r="I26" s="958">
        <f t="shared" si="6"/>
        <v>9837</v>
      </c>
      <c r="J26" s="958">
        <f>SUM(J23:J25)</f>
        <v>858</v>
      </c>
      <c r="K26" s="958">
        <f>SUM(K23:K25)</f>
        <v>10695</v>
      </c>
      <c r="L26" s="958">
        <f>SUM(L23:L25)</f>
        <v>384</v>
      </c>
      <c r="M26" s="958">
        <f>SUM(M23:M25)</f>
        <v>11079</v>
      </c>
      <c r="N26" s="958">
        <f>M26</f>
        <v>11079</v>
      </c>
      <c r="O26" s="940">
        <f t="shared" si="10"/>
        <v>0</v>
      </c>
      <c r="P26" s="941">
        <f t="shared" si="10"/>
        <v>0</v>
      </c>
      <c r="Q26" s="942"/>
      <c r="R26" s="950"/>
      <c r="S26" s="937">
        <f t="shared" si="2"/>
        <v>11079</v>
      </c>
    </row>
    <row r="27" spans="1:27" s="107" customFormat="1" ht="16.899999999999999" customHeight="1" thickBot="1" x14ac:dyDescent="0.25">
      <c r="A27" s="1608"/>
      <c r="B27" s="695" t="s">
        <v>139</v>
      </c>
      <c r="C27" s="944"/>
      <c r="D27" s="944"/>
      <c r="E27" s="944">
        <f>C27+D27</f>
        <v>0</v>
      </c>
      <c r="F27" s="944"/>
      <c r="G27" s="1418">
        <f t="shared" si="7"/>
        <v>0</v>
      </c>
      <c r="H27" s="1418"/>
      <c r="I27" s="1418">
        <f t="shared" si="6"/>
        <v>0</v>
      </c>
      <c r="J27" s="1418"/>
      <c r="K27" s="1418">
        <f>I27+J27</f>
        <v>0</v>
      </c>
      <c r="L27" s="1418"/>
      <c r="M27" s="1418">
        <f>K27+L27</f>
        <v>0</v>
      </c>
      <c r="N27" s="1418">
        <f t="shared" si="8"/>
        <v>0</v>
      </c>
      <c r="O27" s="945"/>
      <c r="P27" s="946"/>
      <c r="Q27" s="935"/>
      <c r="R27" s="949"/>
      <c r="S27" s="937">
        <f t="shared" si="2"/>
        <v>0</v>
      </c>
    </row>
    <row r="28" spans="1:27" s="494" customFormat="1" ht="16.899999999999999" customHeight="1" thickBot="1" x14ac:dyDescent="0.25">
      <c r="A28" s="1609"/>
      <c r="B28" s="1421" t="s">
        <v>134</v>
      </c>
      <c r="C28" s="947">
        <f t="shared" ref="C28:P28" si="11">C22+C26+C27</f>
        <v>245320</v>
      </c>
      <c r="D28" s="947">
        <f t="shared" si="11"/>
        <v>11565</v>
      </c>
      <c r="E28" s="947">
        <f t="shared" si="11"/>
        <v>256885</v>
      </c>
      <c r="F28" s="947">
        <f t="shared" si="11"/>
        <v>8322</v>
      </c>
      <c r="G28" s="947">
        <f t="shared" si="11"/>
        <v>265207</v>
      </c>
      <c r="H28" s="947">
        <f>H22+H26+H27</f>
        <v>9599</v>
      </c>
      <c r="I28" s="947">
        <f t="shared" si="6"/>
        <v>274806</v>
      </c>
      <c r="J28" s="947">
        <f>J22+J26+J27</f>
        <v>1542</v>
      </c>
      <c r="K28" s="947">
        <f>K22+K26+K27</f>
        <v>276348</v>
      </c>
      <c r="L28" s="947">
        <f>L22+L26+L27</f>
        <v>3989</v>
      </c>
      <c r="M28" s="947">
        <f>M22+M26+M27</f>
        <v>280337</v>
      </c>
      <c r="N28" s="947">
        <f>SUM(N22,N26,N27)</f>
        <v>280337</v>
      </c>
      <c r="O28" s="947">
        <f t="shared" si="11"/>
        <v>0</v>
      </c>
      <c r="P28" s="948">
        <f t="shared" si="11"/>
        <v>0</v>
      </c>
      <c r="Q28" s="942"/>
      <c r="R28" s="950"/>
      <c r="S28" s="1428">
        <f t="shared" si="2"/>
        <v>280337</v>
      </c>
    </row>
    <row r="29" spans="1:27" s="520" customFormat="1" ht="24" customHeight="1" thickBot="1" x14ac:dyDescent="0.25">
      <c r="A29" s="697" t="s">
        <v>262</v>
      </c>
      <c r="B29" s="699" t="s">
        <v>489</v>
      </c>
      <c r="C29" s="1635"/>
      <c r="D29" s="1636"/>
      <c r="E29" s="1636"/>
      <c r="F29" s="1636"/>
      <c r="G29" s="1636"/>
      <c r="H29" s="1636"/>
      <c r="I29" s="1636"/>
      <c r="J29" s="1636"/>
      <c r="K29" s="1636"/>
      <c r="L29" s="1636"/>
      <c r="M29" s="1636"/>
      <c r="N29" s="1637"/>
      <c r="O29" s="1637"/>
      <c r="P29" s="1638"/>
      <c r="Q29" s="690"/>
      <c r="R29" s="691"/>
      <c r="S29" s="694"/>
      <c r="AA29" s="521"/>
    </row>
    <row r="30" spans="1:27" s="495" customFormat="1" ht="16.899999999999999" customHeight="1" x14ac:dyDescent="0.2">
      <c r="A30" s="1610"/>
      <c r="B30" s="527" t="s">
        <v>41</v>
      </c>
      <c r="C30" s="933">
        <v>89700</v>
      </c>
      <c r="D30" s="933">
        <v>426</v>
      </c>
      <c r="E30" s="933">
        <f>C30+D30</f>
        <v>90126</v>
      </c>
      <c r="F30" s="933">
        <v>227</v>
      </c>
      <c r="G30" s="933">
        <f>E30+F30</f>
        <v>90353</v>
      </c>
      <c r="H30" s="933">
        <v>118</v>
      </c>
      <c r="I30" s="933">
        <f t="shared" ref="I30:I41" si="12">G30+H30</f>
        <v>90471</v>
      </c>
      <c r="J30" s="933">
        <f>232+68</f>
        <v>300</v>
      </c>
      <c r="K30" s="933">
        <f>I30+J30</f>
        <v>90771</v>
      </c>
      <c r="L30" s="933">
        <f>68+406</f>
        <v>474</v>
      </c>
      <c r="M30" s="933">
        <f>K30+L30</f>
        <v>91245</v>
      </c>
      <c r="N30" s="933">
        <v>91245</v>
      </c>
      <c r="O30" s="933">
        <v>0</v>
      </c>
      <c r="P30" s="934">
        <v>0</v>
      </c>
      <c r="Q30" s="951"/>
      <c r="R30" s="952"/>
      <c r="S30" s="937">
        <f t="shared" si="2"/>
        <v>91245</v>
      </c>
      <c r="AA30" s="524"/>
    </row>
    <row r="31" spans="1:27" s="495" customFormat="1" ht="30.95" customHeight="1" x14ac:dyDescent="0.2">
      <c r="A31" s="1611"/>
      <c r="B31" s="528" t="s">
        <v>309</v>
      </c>
      <c r="C31" s="938">
        <v>25331</v>
      </c>
      <c r="D31" s="938">
        <v>115</v>
      </c>
      <c r="E31" s="933">
        <f>C31+D31</f>
        <v>25446</v>
      </c>
      <c r="F31" s="933">
        <v>61</v>
      </c>
      <c r="G31" s="933">
        <f t="shared" ref="G31:G40" si="13">E31+F31</f>
        <v>25507</v>
      </c>
      <c r="H31" s="933">
        <v>32</v>
      </c>
      <c r="I31" s="933">
        <f t="shared" si="12"/>
        <v>25539</v>
      </c>
      <c r="J31" s="933">
        <f>31+19</f>
        <v>50</v>
      </c>
      <c r="K31" s="933">
        <f>I31+J31</f>
        <v>25589</v>
      </c>
      <c r="L31" s="933">
        <f>18+53</f>
        <v>71</v>
      </c>
      <c r="M31" s="933">
        <f>K31+L31</f>
        <v>25660</v>
      </c>
      <c r="N31" s="933">
        <v>25660</v>
      </c>
      <c r="O31" s="938">
        <v>0</v>
      </c>
      <c r="P31" s="939">
        <v>0</v>
      </c>
      <c r="Q31" s="951"/>
      <c r="R31" s="952"/>
      <c r="S31" s="937">
        <f t="shared" si="2"/>
        <v>25660</v>
      </c>
      <c r="AA31" s="524"/>
    </row>
    <row r="32" spans="1:27" s="495" customFormat="1" ht="16.899999999999999" customHeight="1" x14ac:dyDescent="0.2">
      <c r="A32" s="1611"/>
      <c r="B32" s="528" t="s">
        <v>133</v>
      </c>
      <c r="C32" s="938">
        <v>11135</v>
      </c>
      <c r="D32" s="938">
        <f>529+29</f>
        <v>558</v>
      </c>
      <c r="E32" s="933">
        <f>C32+D32</f>
        <v>11693</v>
      </c>
      <c r="F32" s="933"/>
      <c r="G32" s="933">
        <f t="shared" si="13"/>
        <v>11693</v>
      </c>
      <c r="H32" s="933"/>
      <c r="I32" s="933">
        <f t="shared" si="12"/>
        <v>11693</v>
      </c>
      <c r="J32" s="933">
        <v>-26</v>
      </c>
      <c r="K32" s="933">
        <f>I32+J32</f>
        <v>11667</v>
      </c>
      <c r="L32" s="933">
        <f>13-1042</f>
        <v>-1029</v>
      </c>
      <c r="M32" s="933">
        <f>K32+L32</f>
        <v>10638</v>
      </c>
      <c r="N32" s="933">
        <v>10638</v>
      </c>
      <c r="O32" s="938">
        <v>0</v>
      </c>
      <c r="P32" s="939">
        <v>0</v>
      </c>
      <c r="Q32" s="951"/>
      <c r="R32" s="952"/>
      <c r="S32" s="937">
        <f t="shared" si="2"/>
        <v>10638</v>
      </c>
      <c r="AA32" s="524"/>
    </row>
    <row r="33" spans="1:27" s="495" customFormat="1" ht="16.899999999999999" customHeight="1" x14ac:dyDescent="0.2">
      <c r="A33" s="1611"/>
      <c r="B33" s="528" t="s">
        <v>43</v>
      </c>
      <c r="C33" s="938">
        <v>0</v>
      </c>
      <c r="D33" s="938"/>
      <c r="E33" s="933">
        <f>C33+D33</f>
        <v>0</v>
      </c>
      <c r="F33" s="933"/>
      <c r="G33" s="933">
        <f t="shared" si="13"/>
        <v>0</v>
      </c>
      <c r="H33" s="933"/>
      <c r="I33" s="933">
        <f t="shared" si="12"/>
        <v>0</v>
      </c>
      <c r="J33" s="933"/>
      <c r="K33" s="933">
        <f>I33+J33</f>
        <v>0</v>
      </c>
      <c r="L33" s="933"/>
      <c r="M33" s="933">
        <f>K33+L33</f>
        <v>0</v>
      </c>
      <c r="N33" s="933">
        <f t="shared" ref="N33:N40" si="14">K33</f>
        <v>0</v>
      </c>
      <c r="O33" s="938">
        <v>0</v>
      </c>
      <c r="P33" s="939">
        <v>0</v>
      </c>
      <c r="Q33" s="951"/>
      <c r="R33" s="952"/>
      <c r="S33" s="937">
        <f t="shared" si="2"/>
        <v>0</v>
      </c>
      <c r="AA33" s="524"/>
    </row>
    <row r="34" spans="1:27" s="495" customFormat="1" ht="16.899999999999999" customHeight="1" x14ac:dyDescent="0.2">
      <c r="A34" s="1611"/>
      <c r="B34" s="528" t="s">
        <v>368</v>
      </c>
      <c r="C34" s="938">
        <v>900</v>
      </c>
      <c r="D34" s="938">
        <v>-900</v>
      </c>
      <c r="E34" s="933">
        <f>C34+D34</f>
        <v>0</v>
      </c>
      <c r="F34" s="933"/>
      <c r="G34" s="933">
        <f t="shared" si="13"/>
        <v>0</v>
      </c>
      <c r="H34" s="933"/>
      <c r="I34" s="933">
        <f t="shared" si="12"/>
        <v>0</v>
      </c>
      <c r="J34" s="933"/>
      <c r="K34" s="933">
        <f>I34+J34</f>
        <v>0</v>
      </c>
      <c r="L34" s="933"/>
      <c r="M34" s="933">
        <f>K34+L34</f>
        <v>0</v>
      </c>
      <c r="N34" s="933">
        <f t="shared" si="14"/>
        <v>0</v>
      </c>
      <c r="O34" s="938">
        <v>0</v>
      </c>
      <c r="P34" s="939">
        <v>0</v>
      </c>
      <c r="Q34" s="951"/>
      <c r="R34" s="952"/>
      <c r="S34" s="937">
        <f t="shared" si="2"/>
        <v>0</v>
      </c>
      <c r="AA34" s="524"/>
    </row>
    <row r="35" spans="1:27" s="496" customFormat="1" ht="16.899999999999999" customHeight="1" x14ac:dyDescent="0.2">
      <c r="A35" s="1611"/>
      <c r="B35" s="529" t="s">
        <v>369</v>
      </c>
      <c r="C35" s="940">
        <f t="shared" ref="C35:P35" si="15">SUM(C30:C34)</f>
        <v>127066</v>
      </c>
      <c r="D35" s="940">
        <f t="shared" si="15"/>
        <v>199</v>
      </c>
      <c r="E35" s="940">
        <f t="shared" si="15"/>
        <v>127265</v>
      </c>
      <c r="F35" s="940">
        <f t="shared" si="15"/>
        <v>288</v>
      </c>
      <c r="G35" s="940">
        <f t="shared" si="15"/>
        <v>127553</v>
      </c>
      <c r="H35" s="940">
        <f>SUM(H30:H34)</f>
        <v>150</v>
      </c>
      <c r="I35" s="958">
        <f t="shared" si="12"/>
        <v>127703</v>
      </c>
      <c r="J35" s="958">
        <f>SUM(J30:J34)</f>
        <v>324</v>
      </c>
      <c r="K35" s="958">
        <f>SUM(K30:K34)</f>
        <v>128027</v>
      </c>
      <c r="L35" s="958">
        <f>SUM(L30:L34)</f>
        <v>-484</v>
      </c>
      <c r="M35" s="958">
        <f>SUM(M30:M34)</f>
        <v>127543</v>
      </c>
      <c r="N35" s="958">
        <f>SUM(N30:N34)</f>
        <v>127543</v>
      </c>
      <c r="O35" s="940">
        <f t="shared" si="15"/>
        <v>0</v>
      </c>
      <c r="P35" s="941">
        <f t="shared" si="15"/>
        <v>0</v>
      </c>
      <c r="Q35" s="953"/>
      <c r="R35" s="954"/>
      <c r="S35" s="937">
        <f t="shared" si="2"/>
        <v>127543</v>
      </c>
      <c r="AA35" s="524"/>
    </row>
    <row r="36" spans="1:27" s="495" customFormat="1" ht="16.899999999999999" customHeight="1" x14ac:dyDescent="0.2">
      <c r="A36" s="1611"/>
      <c r="B36" s="528" t="s">
        <v>370</v>
      </c>
      <c r="C36" s="938">
        <v>0</v>
      </c>
      <c r="D36" s="938">
        <f>1280+15</f>
        <v>1295</v>
      </c>
      <c r="E36" s="938">
        <f>C36+D36</f>
        <v>1295</v>
      </c>
      <c r="F36" s="938"/>
      <c r="G36" s="933">
        <f t="shared" si="13"/>
        <v>1295</v>
      </c>
      <c r="H36" s="933"/>
      <c r="I36" s="933">
        <f t="shared" si="12"/>
        <v>1295</v>
      </c>
      <c r="J36" s="933">
        <v>26</v>
      </c>
      <c r="K36" s="933">
        <f>I36+J36</f>
        <v>1321</v>
      </c>
      <c r="L36" s="933">
        <v>1042</v>
      </c>
      <c r="M36" s="933">
        <f>K36+L36</f>
        <v>2363</v>
      </c>
      <c r="N36" s="933">
        <v>2363</v>
      </c>
      <c r="O36" s="938">
        <v>0</v>
      </c>
      <c r="P36" s="939">
        <v>0</v>
      </c>
      <c r="Q36" s="951"/>
      <c r="R36" s="952"/>
      <c r="S36" s="937">
        <f t="shared" si="2"/>
        <v>2363</v>
      </c>
      <c r="AA36" s="524"/>
    </row>
    <row r="37" spans="1:27" s="495" customFormat="1" ht="16.899999999999999" customHeight="1" x14ac:dyDescent="0.2">
      <c r="A37" s="1611"/>
      <c r="B37" s="528" t="s">
        <v>55</v>
      </c>
      <c r="C37" s="938">
        <v>0</v>
      </c>
      <c r="D37" s="938">
        <v>2246</v>
      </c>
      <c r="E37" s="938">
        <f>C37+D37</f>
        <v>2246</v>
      </c>
      <c r="F37" s="938"/>
      <c r="G37" s="933">
        <f t="shared" si="13"/>
        <v>2246</v>
      </c>
      <c r="H37" s="933"/>
      <c r="I37" s="933">
        <f t="shared" si="12"/>
        <v>2246</v>
      </c>
      <c r="J37" s="933"/>
      <c r="K37" s="933">
        <f>I37+J37</f>
        <v>2246</v>
      </c>
      <c r="L37" s="933"/>
      <c r="M37" s="933">
        <f>K37+L37</f>
        <v>2246</v>
      </c>
      <c r="N37" s="933">
        <f t="shared" si="14"/>
        <v>2246</v>
      </c>
      <c r="O37" s="938">
        <v>0</v>
      </c>
      <c r="P37" s="939">
        <v>0</v>
      </c>
      <c r="Q37" s="951"/>
      <c r="R37" s="952"/>
      <c r="S37" s="937">
        <f t="shared" si="2"/>
        <v>2246</v>
      </c>
      <c r="AA37" s="524"/>
    </row>
    <row r="38" spans="1:27" s="495" customFormat="1" ht="16.899999999999999" customHeight="1" x14ac:dyDescent="0.2">
      <c r="A38" s="1611"/>
      <c r="B38" s="528" t="s">
        <v>371</v>
      </c>
      <c r="C38" s="938">
        <v>0</v>
      </c>
      <c r="D38" s="938">
        <v>0</v>
      </c>
      <c r="E38" s="938">
        <f>C38+D38</f>
        <v>0</v>
      </c>
      <c r="F38" s="938"/>
      <c r="G38" s="933">
        <f t="shared" si="13"/>
        <v>0</v>
      </c>
      <c r="H38" s="933"/>
      <c r="I38" s="933">
        <f t="shared" si="12"/>
        <v>0</v>
      </c>
      <c r="J38" s="933"/>
      <c r="K38" s="933">
        <f>I38+J38</f>
        <v>0</v>
      </c>
      <c r="L38" s="933"/>
      <c r="M38" s="933">
        <f>K38+L38</f>
        <v>0</v>
      </c>
      <c r="N38" s="933">
        <f t="shared" si="14"/>
        <v>0</v>
      </c>
      <c r="O38" s="938">
        <v>0</v>
      </c>
      <c r="P38" s="939">
        <v>0</v>
      </c>
      <c r="Q38" s="951"/>
      <c r="R38" s="952"/>
      <c r="S38" s="937">
        <f t="shared" si="2"/>
        <v>0</v>
      </c>
      <c r="AA38" s="524"/>
    </row>
    <row r="39" spans="1:27" s="496" customFormat="1" ht="16.899999999999999" customHeight="1" x14ac:dyDescent="0.2">
      <c r="A39" s="1611"/>
      <c r="B39" s="529" t="s">
        <v>372</v>
      </c>
      <c r="C39" s="940">
        <f t="shared" ref="C39:P39" si="16">SUM(C36:C38)</f>
        <v>0</v>
      </c>
      <c r="D39" s="940">
        <f t="shared" si="16"/>
        <v>3541</v>
      </c>
      <c r="E39" s="940">
        <f t="shared" si="16"/>
        <v>3541</v>
      </c>
      <c r="F39" s="940">
        <f t="shared" si="16"/>
        <v>0</v>
      </c>
      <c r="G39" s="940">
        <f t="shared" si="16"/>
        <v>3541</v>
      </c>
      <c r="H39" s="940">
        <f>SUM(H36:H38)</f>
        <v>0</v>
      </c>
      <c r="I39" s="958">
        <f t="shared" si="12"/>
        <v>3541</v>
      </c>
      <c r="J39" s="958">
        <f>SUM(J36:J38)</f>
        <v>26</v>
      </c>
      <c r="K39" s="958">
        <f>SUM(K36:K38)</f>
        <v>3567</v>
      </c>
      <c r="L39" s="958">
        <f>SUM(L36:L38)</f>
        <v>1042</v>
      </c>
      <c r="M39" s="958">
        <f>SUM(M36:M38)</f>
        <v>4609</v>
      </c>
      <c r="N39" s="958">
        <f>SUM(N36:N38)</f>
        <v>4609</v>
      </c>
      <c r="O39" s="940">
        <f t="shared" si="16"/>
        <v>0</v>
      </c>
      <c r="P39" s="941">
        <f t="shared" si="16"/>
        <v>0</v>
      </c>
      <c r="Q39" s="953"/>
      <c r="R39" s="954"/>
      <c r="S39" s="937">
        <f t="shared" si="2"/>
        <v>4609</v>
      </c>
      <c r="AA39" s="524"/>
    </row>
    <row r="40" spans="1:27" s="495" customFormat="1" ht="16.899999999999999" customHeight="1" thickBot="1" x14ac:dyDescent="0.25">
      <c r="A40" s="1611"/>
      <c r="B40" s="695" t="s">
        <v>139</v>
      </c>
      <c r="C40" s="944"/>
      <c r="D40" s="944"/>
      <c r="E40" s="944">
        <f>C40+D40</f>
        <v>0</v>
      </c>
      <c r="F40" s="944"/>
      <c r="G40" s="1418">
        <f t="shared" si="13"/>
        <v>0</v>
      </c>
      <c r="H40" s="1418"/>
      <c r="I40" s="1418">
        <f t="shared" si="12"/>
        <v>0</v>
      </c>
      <c r="J40" s="1418"/>
      <c r="K40" s="1418"/>
      <c r="L40" s="1418"/>
      <c r="M40" s="1418"/>
      <c r="N40" s="1418">
        <f t="shared" si="14"/>
        <v>0</v>
      </c>
      <c r="O40" s="945"/>
      <c r="P40" s="946"/>
      <c r="Q40" s="951"/>
      <c r="R40" s="952"/>
      <c r="S40" s="937">
        <f t="shared" si="2"/>
        <v>0</v>
      </c>
      <c r="AA40" s="524"/>
    </row>
    <row r="41" spans="1:27" s="496" customFormat="1" ht="16.899999999999999" customHeight="1" thickBot="1" x14ac:dyDescent="0.25">
      <c r="A41" s="1612"/>
      <c r="B41" s="1421" t="s">
        <v>134</v>
      </c>
      <c r="C41" s="947">
        <f t="shared" ref="C41:P41" si="17">C35+C39+C40</f>
        <v>127066</v>
      </c>
      <c r="D41" s="947">
        <f t="shared" si="17"/>
        <v>3740</v>
      </c>
      <c r="E41" s="947">
        <f t="shared" si="17"/>
        <v>130806</v>
      </c>
      <c r="F41" s="947">
        <f t="shared" si="17"/>
        <v>288</v>
      </c>
      <c r="G41" s="947">
        <f t="shared" si="17"/>
        <v>131094</v>
      </c>
      <c r="H41" s="947">
        <f>H35+H39+H40</f>
        <v>150</v>
      </c>
      <c r="I41" s="947">
        <f t="shared" si="12"/>
        <v>131244</v>
      </c>
      <c r="J41" s="947">
        <f>J35+J39+J40</f>
        <v>350</v>
      </c>
      <c r="K41" s="947">
        <f>I41+J41</f>
        <v>131594</v>
      </c>
      <c r="L41" s="947">
        <f>L35+L39+L40</f>
        <v>558</v>
      </c>
      <c r="M41" s="947">
        <f>K41+L41</f>
        <v>132152</v>
      </c>
      <c r="N41" s="947">
        <f>SUM(N35,N39,N40)</f>
        <v>132152</v>
      </c>
      <c r="O41" s="947">
        <f t="shared" si="17"/>
        <v>0</v>
      </c>
      <c r="P41" s="948">
        <f t="shared" si="17"/>
        <v>0</v>
      </c>
      <c r="Q41" s="953"/>
      <c r="R41" s="954"/>
      <c r="S41" s="937">
        <f t="shared" si="2"/>
        <v>132152</v>
      </c>
      <c r="AA41" s="524"/>
    </row>
    <row r="42" spans="1:27" s="520" customFormat="1" ht="24" customHeight="1" thickBot="1" x14ac:dyDescent="0.25">
      <c r="A42" s="697" t="s">
        <v>265</v>
      </c>
      <c r="B42" s="1629" t="s">
        <v>490</v>
      </c>
      <c r="C42" s="1630"/>
      <c r="D42" s="1630"/>
      <c r="E42" s="1630"/>
      <c r="F42" s="1630"/>
      <c r="G42" s="1630"/>
      <c r="H42" s="1630"/>
      <c r="I42" s="1630"/>
      <c r="J42" s="1630"/>
      <c r="K42" s="1630"/>
      <c r="L42" s="1630"/>
      <c r="M42" s="1630"/>
      <c r="N42" s="1630"/>
      <c r="O42" s="1630"/>
      <c r="P42" s="1631"/>
      <c r="Q42" s="690"/>
      <c r="R42" s="691"/>
      <c r="S42" s="694"/>
      <c r="AA42" s="521"/>
    </row>
    <row r="43" spans="1:27" s="495" customFormat="1" ht="16.899999999999999" customHeight="1" x14ac:dyDescent="0.2">
      <c r="A43" s="1610"/>
      <c r="B43" s="527" t="s">
        <v>41</v>
      </c>
      <c r="C43" s="933">
        <v>52570</v>
      </c>
      <c r="D43" s="933">
        <f>206+282</f>
        <v>488</v>
      </c>
      <c r="E43" s="933">
        <f>C43+D43</f>
        <v>53058</v>
      </c>
      <c r="F43" s="933">
        <f>119+113</f>
        <v>232</v>
      </c>
      <c r="G43" s="933">
        <f>E43+F43</f>
        <v>53290</v>
      </c>
      <c r="H43" s="933">
        <v>76</v>
      </c>
      <c r="I43" s="933">
        <f t="shared" ref="I43:I54" si="18">G43+H43</f>
        <v>53366</v>
      </c>
      <c r="J43" s="933">
        <f>155+35</f>
        <v>190</v>
      </c>
      <c r="K43" s="933">
        <f>I43+J43</f>
        <v>53556</v>
      </c>
      <c r="L43" s="933">
        <f>35+349</f>
        <v>384</v>
      </c>
      <c r="M43" s="933">
        <f>K43+L43</f>
        <v>53940</v>
      </c>
      <c r="N43" s="933">
        <v>53940</v>
      </c>
      <c r="O43" s="933">
        <v>0</v>
      </c>
      <c r="P43" s="934">
        <v>0</v>
      </c>
      <c r="Q43" s="951"/>
      <c r="R43" s="952"/>
      <c r="S43" s="937">
        <f t="shared" si="2"/>
        <v>53940</v>
      </c>
      <c r="AA43" s="524"/>
    </row>
    <row r="44" spans="1:27" s="495" customFormat="1" ht="30.95" customHeight="1" x14ac:dyDescent="0.2">
      <c r="A44" s="1611"/>
      <c r="B44" s="528" t="s">
        <v>309</v>
      </c>
      <c r="C44" s="938">
        <v>14200</v>
      </c>
      <c r="D44" s="938">
        <f>56+38</f>
        <v>94</v>
      </c>
      <c r="E44" s="933">
        <f>C44+D44</f>
        <v>14294</v>
      </c>
      <c r="F44" s="933">
        <f>33+15</f>
        <v>48</v>
      </c>
      <c r="G44" s="933">
        <f t="shared" ref="G44:G53" si="19">E44+F44</f>
        <v>14342</v>
      </c>
      <c r="H44" s="933">
        <v>20</v>
      </c>
      <c r="I44" s="933">
        <f t="shared" si="18"/>
        <v>14362</v>
      </c>
      <c r="J44" s="933">
        <f>20+10</f>
        <v>30</v>
      </c>
      <c r="K44" s="933">
        <f>I44+J44</f>
        <v>14392</v>
      </c>
      <c r="L44" s="933">
        <v>10</v>
      </c>
      <c r="M44" s="933">
        <f>K44+L44</f>
        <v>14402</v>
      </c>
      <c r="N44" s="933">
        <v>14402</v>
      </c>
      <c r="O44" s="938">
        <v>0</v>
      </c>
      <c r="P44" s="939">
        <v>0</v>
      </c>
      <c r="Q44" s="951"/>
      <c r="R44" s="952"/>
      <c r="S44" s="937">
        <f t="shared" si="2"/>
        <v>14402</v>
      </c>
      <c r="AA44" s="524"/>
    </row>
    <row r="45" spans="1:27" s="495" customFormat="1" ht="16.899999999999999" customHeight="1" x14ac:dyDescent="0.2">
      <c r="A45" s="1611"/>
      <c r="B45" s="528" t="s">
        <v>133</v>
      </c>
      <c r="C45" s="938">
        <v>7400</v>
      </c>
      <c r="D45" s="938">
        <f>1500+2000</f>
        <v>3500</v>
      </c>
      <c r="E45" s="933">
        <f>C45+D45</f>
        <v>10900</v>
      </c>
      <c r="F45" s="933"/>
      <c r="G45" s="933">
        <f t="shared" si="19"/>
        <v>10900</v>
      </c>
      <c r="H45" s="933"/>
      <c r="I45" s="933">
        <f t="shared" si="18"/>
        <v>10900</v>
      </c>
      <c r="J45" s="933"/>
      <c r="K45" s="933">
        <f>I45+J45</f>
        <v>10900</v>
      </c>
      <c r="L45" s="933"/>
      <c r="M45" s="933">
        <f>K45+L45</f>
        <v>10900</v>
      </c>
      <c r="N45" s="933">
        <f t="shared" ref="N45:N53" si="20">K45</f>
        <v>10900</v>
      </c>
      <c r="O45" s="938">
        <v>0</v>
      </c>
      <c r="P45" s="939">
        <v>0</v>
      </c>
      <c r="Q45" s="951"/>
      <c r="R45" s="952"/>
      <c r="S45" s="937">
        <f t="shared" si="2"/>
        <v>10900</v>
      </c>
      <c r="AA45" s="524"/>
    </row>
    <row r="46" spans="1:27" s="495" customFormat="1" ht="16.899999999999999" customHeight="1" x14ac:dyDescent="0.2">
      <c r="A46" s="1611"/>
      <c r="B46" s="528" t="s">
        <v>43</v>
      </c>
      <c r="C46" s="938">
        <v>0</v>
      </c>
      <c r="D46" s="938"/>
      <c r="E46" s="933">
        <f>C46+D46</f>
        <v>0</v>
      </c>
      <c r="F46" s="933"/>
      <c r="G46" s="933">
        <f t="shared" si="19"/>
        <v>0</v>
      </c>
      <c r="H46" s="933"/>
      <c r="I46" s="933">
        <f t="shared" si="18"/>
        <v>0</v>
      </c>
      <c r="J46" s="933"/>
      <c r="K46" s="933">
        <f>I46+J46</f>
        <v>0</v>
      </c>
      <c r="L46" s="933"/>
      <c r="M46" s="933">
        <f>K46+L46</f>
        <v>0</v>
      </c>
      <c r="N46" s="933">
        <f t="shared" si="20"/>
        <v>0</v>
      </c>
      <c r="O46" s="938">
        <v>0</v>
      </c>
      <c r="P46" s="939">
        <v>0</v>
      </c>
      <c r="Q46" s="951"/>
      <c r="R46" s="952"/>
      <c r="S46" s="937">
        <f t="shared" si="2"/>
        <v>0</v>
      </c>
      <c r="AA46" s="524"/>
    </row>
    <row r="47" spans="1:27" s="495" customFormat="1" ht="16.899999999999999" customHeight="1" x14ac:dyDescent="0.2">
      <c r="A47" s="1611"/>
      <c r="B47" s="528" t="s">
        <v>368</v>
      </c>
      <c r="C47" s="938">
        <v>3900</v>
      </c>
      <c r="D47" s="938">
        <v>-3900</v>
      </c>
      <c r="E47" s="933">
        <f>C47+D47</f>
        <v>0</v>
      </c>
      <c r="F47" s="933"/>
      <c r="G47" s="933">
        <f t="shared" si="19"/>
        <v>0</v>
      </c>
      <c r="H47" s="933"/>
      <c r="I47" s="933">
        <f t="shared" si="18"/>
        <v>0</v>
      </c>
      <c r="J47" s="933"/>
      <c r="K47" s="933">
        <f>I47+J47</f>
        <v>0</v>
      </c>
      <c r="L47" s="933"/>
      <c r="M47" s="933">
        <f>K47+L47</f>
        <v>0</v>
      </c>
      <c r="N47" s="933">
        <f t="shared" si="20"/>
        <v>0</v>
      </c>
      <c r="O47" s="938">
        <v>0</v>
      </c>
      <c r="P47" s="939">
        <v>0</v>
      </c>
      <c r="Q47" s="951"/>
      <c r="R47" s="952"/>
      <c r="S47" s="937">
        <f t="shared" si="2"/>
        <v>0</v>
      </c>
      <c r="AA47" s="524"/>
    </row>
    <row r="48" spans="1:27" s="496" customFormat="1" ht="16.899999999999999" customHeight="1" x14ac:dyDescent="0.2">
      <c r="A48" s="1611"/>
      <c r="B48" s="529" t="s">
        <v>369</v>
      </c>
      <c r="C48" s="940">
        <f t="shared" ref="C48:R48" si="21">SUM(C43:C47)</f>
        <v>78070</v>
      </c>
      <c r="D48" s="940">
        <f t="shared" si="21"/>
        <v>182</v>
      </c>
      <c r="E48" s="940">
        <f t="shared" si="21"/>
        <v>78252</v>
      </c>
      <c r="F48" s="940">
        <f t="shared" si="21"/>
        <v>280</v>
      </c>
      <c r="G48" s="940">
        <f t="shared" si="21"/>
        <v>78532</v>
      </c>
      <c r="H48" s="940">
        <f>SUM(H43:H47)</f>
        <v>96</v>
      </c>
      <c r="I48" s="958">
        <f t="shared" si="18"/>
        <v>78628</v>
      </c>
      <c r="J48" s="958">
        <f>SUM(J43:J47)</f>
        <v>220</v>
      </c>
      <c r="K48" s="958">
        <f>SUM(K43:K47)</f>
        <v>78848</v>
      </c>
      <c r="L48" s="958">
        <f>SUM(L43:L47)</f>
        <v>394</v>
      </c>
      <c r="M48" s="958">
        <f>SUM(M43:M47)</f>
        <v>79242</v>
      </c>
      <c r="N48" s="958">
        <f>SUM(N43:N47)</f>
        <v>79242</v>
      </c>
      <c r="O48" s="940">
        <f t="shared" si="21"/>
        <v>0</v>
      </c>
      <c r="P48" s="941">
        <f t="shared" si="21"/>
        <v>0</v>
      </c>
      <c r="Q48" s="955">
        <f t="shared" si="21"/>
        <v>0</v>
      </c>
      <c r="R48" s="940">
        <f t="shared" si="21"/>
        <v>0</v>
      </c>
      <c r="S48" s="937">
        <f t="shared" si="2"/>
        <v>79242</v>
      </c>
      <c r="AA48" s="524"/>
    </row>
    <row r="49" spans="1:27" s="495" customFormat="1" ht="16.899999999999999" customHeight="1" x14ac:dyDescent="0.2">
      <c r="A49" s="1611"/>
      <c r="B49" s="528" t="s">
        <v>370</v>
      </c>
      <c r="C49" s="938">
        <v>0</v>
      </c>
      <c r="D49" s="938">
        <f>1820+113</f>
        <v>1933</v>
      </c>
      <c r="E49" s="938">
        <f>C49+D49</f>
        <v>1933</v>
      </c>
      <c r="F49" s="938"/>
      <c r="G49" s="933">
        <f t="shared" si="19"/>
        <v>1933</v>
      </c>
      <c r="H49" s="933"/>
      <c r="I49" s="933">
        <f t="shared" si="18"/>
        <v>1933</v>
      </c>
      <c r="J49" s="933"/>
      <c r="K49" s="933">
        <f>I49+J49</f>
        <v>1933</v>
      </c>
      <c r="L49" s="933"/>
      <c r="M49" s="933">
        <f>K49+L49</f>
        <v>1933</v>
      </c>
      <c r="N49" s="933">
        <f t="shared" si="20"/>
        <v>1933</v>
      </c>
      <c r="O49" s="938">
        <v>0</v>
      </c>
      <c r="P49" s="939">
        <v>0</v>
      </c>
      <c r="Q49" s="951"/>
      <c r="R49" s="952"/>
      <c r="S49" s="937">
        <f t="shared" si="2"/>
        <v>1933</v>
      </c>
      <c r="AA49" s="524"/>
    </row>
    <row r="50" spans="1:27" s="495" customFormat="1" ht="16.899999999999999" customHeight="1" x14ac:dyDescent="0.2">
      <c r="A50" s="1611"/>
      <c r="B50" s="528" t="s">
        <v>55</v>
      </c>
      <c r="C50" s="938">
        <v>0</v>
      </c>
      <c r="D50" s="938">
        <v>900</v>
      </c>
      <c r="E50" s="938">
        <f>C50+D50</f>
        <v>900</v>
      </c>
      <c r="F50" s="938"/>
      <c r="G50" s="933">
        <f t="shared" si="19"/>
        <v>900</v>
      </c>
      <c r="H50" s="933"/>
      <c r="I50" s="933">
        <f t="shared" si="18"/>
        <v>900</v>
      </c>
      <c r="J50" s="933"/>
      <c r="K50" s="933">
        <f>I50+J50</f>
        <v>900</v>
      </c>
      <c r="L50" s="933"/>
      <c r="M50" s="933">
        <f>K50+L50</f>
        <v>900</v>
      </c>
      <c r="N50" s="933">
        <f t="shared" si="20"/>
        <v>900</v>
      </c>
      <c r="O50" s="938">
        <v>0</v>
      </c>
      <c r="P50" s="939">
        <v>0</v>
      </c>
      <c r="Q50" s="951"/>
      <c r="R50" s="952"/>
      <c r="S50" s="937">
        <f t="shared" si="2"/>
        <v>900</v>
      </c>
      <c r="AA50" s="524"/>
    </row>
    <row r="51" spans="1:27" s="495" customFormat="1" ht="16.899999999999999" customHeight="1" x14ac:dyDescent="0.2">
      <c r="A51" s="1611"/>
      <c r="B51" s="528" t="s">
        <v>371</v>
      </c>
      <c r="C51" s="938">
        <v>0</v>
      </c>
      <c r="D51" s="938">
        <v>0</v>
      </c>
      <c r="E51" s="938">
        <f>C51+D51</f>
        <v>0</v>
      </c>
      <c r="F51" s="938"/>
      <c r="G51" s="933">
        <f t="shared" si="19"/>
        <v>0</v>
      </c>
      <c r="H51" s="933"/>
      <c r="I51" s="933">
        <f t="shared" si="18"/>
        <v>0</v>
      </c>
      <c r="J51" s="933"/>
      <c r="K51" s="933">
        <f>I51+J51</f>
        <v>0</v>
      </c>
      <c r="L51" s="933"/>
      <c r="M51" s="933">
        <f>K51+L51</f>
        <v>0</v>
      </c>
      <c r="N51" s="933">
        <f t="shared" si="20"/>
        <v>0</v>
      </c>
      <c r="O51" s="938">
        <v>0</v>
      </c>
      <c r="P51" s="939">
        <v>0</v>
      </c>
      <c r="Q51" s="951"/>
      <c r="R51" s="952"/>
      <c r="S51" s="937">
        <f t="shared" si="2"/>
        <v>0</v>
      </c>
      <c r="AA51" s="524"/>
    </row>
    <row r="52" spans="1:27" s="496" customFormat="1" ht="16.899999999999999" customHeight="1" x14ac:dyDescent="0.2">
      <c r="A52" s="1611"/>
      <c r="B52" s="529" t="s">
        <v>372</v>
      </c>
      <c r="C52" s="940">
        <f t="shared" ref="C52:P52" si="22">SUM(C49:C51)</f>
        <v>0</v>
      </c>
      <c r="D52" s="940">
        <f t="shared" si="22"/>
        <v>2833</v>
      </c>
      <c r="E52" s="940">
        <f t="shared" si="22"/>
        <v>2833</v>
      </c>
      <c r="F52" s="940">
        <f t="shared" si="22"/>
        <v>0</v>
      </c>
      <c r="G52" s="940">
        <f t="shared" si="22"/>
        <v>2833</v>
      </c>
      <c r="H52" s="940">
        <f>SUM(H49:H51)</f>
        <v>0</v>
      </c>
      <c r="I52" s="958">
        <f t="shared" si="18"/>
        <v>2833</v>
      </c>
      <c r="J52" s="958">
        <f>SUM(J49:J51)</f>
        <v>0</v>
      </c>
      <c r="K52" s="958">
        <f>SUM(K49:K51)</f>
        <v>2833</v>
      </c>
      <c r="L52" s="958">
        <f>SUM(L49:L51)</f>
        <v>0</v>
      </c>
      <c r="M52" s="958">
        <f>SUM(M49:M51)</f>
        <v>2833</v>
      </c>
      <c r="N52" s="958">
        <f>SUM(N49:N51)</f>
        <v>2833</v>
      </c>
      <c r="O52" s="940">
        <f t="shared" si="22"/>
        <v>0</v>
      </c>
      <c r="P52" s="941">
        <f t="shared" si="22"/>
        <v>0</v>
      </c>
      <c r="Q52" s="953"/>
      <c r="R52" s="954"/>
      <c r="S52" s="937">
        <f t="shared" si="2"/>
        <v>2833</v>
      </c>
      <c r="AA52" s="524"/>
    </row>
    <row r="53" spans="1:27" s="495" customFormat="1" ht="16.899999999999999" customHeight="1" thickBot="1" x14ac:dyDescent="0.25">
      <c r="A53" s="1611"/>
      <c r="B53" s="695" t="s">
        <v>139</v>
      </c>
      <c r="C53" s="944"/>
      <c r="D53" s="944"/>
      <c r="E53" s="944">
        <f>C53+D53</f>
        <v>0</v>
      </c>
      <c r="F53" s="944"/>
      <c r="G53" s="1418">
        <f t="shared" si="19"/>
        <v>0</v>
      </c>
      <c r="H53" s="1418"/>
      <c r="I53" s="1418">
        <f t="shared" si="18"/>
        <v>0</v>
      </c>
      <c r="J53" s="1418"/>
      <c r="K53" s="1418">
        <f>I53+J53</f>
        <v>0</v>
      </c>
      <c r="L53" s="1418"/>
      <c r="M53" s="1418">
        <f>K53+L53</f>
        <v>0</v>
      </c>
      <c r="N53" s="1418">
        <f t="shared" si="20"/>
        <v>0</v>
      </c>
      <c r="O53" s="945"/>
      <c r="P53" s="946"/>
      <c r="Q53" s="951"/>
      <c r="R53" s="952"/>
      <c r="S53" s="937">
        <f t="shared" si="2"/>
        <v>0</v>
      </c>
      <c r="AA53" s="524"/>
    </row>
    <row r="54" spans="1:27" s="496" customFormat="1" ht="16.899999999999999" customHeight="1" thickBot="1" x14ac:dyDescent="0.25">
      <c r="A54" s="1612"/>
      <c r="B54" s="1421" t="s">
        <v>134</v>
      </c>
      <c r="C54" s="947">
        <f t="shared" ref="C54:P54" si="23">C48+C52+C53</f>
        <v>78070</v>
      </c>
      <c r="D54" s="947">
        <f t="shared" si="23"/>
        <v>3015</v>
      </c>
      <c r="E54" s="947">
        <f t="shared" si="23"/>
        <v>81085</v>
      </c>
      <c r="F54" s="947">
        <f t="shared" si="23"/>
        <v>280</v>
      </c>
      <c r="G54" s="947">
        <f t="shared" si="23"/>
        <v>81365</v>
      </c>
      <c r="H54" s="947">
        <f>H48+H52+H53</f>
        <v>96</v>
      </c>
      <c r="I54" s="947">
        <f t="shared" si="18"/>
        <v>81461</v>
      </c>
      <c r="J54" s="947">
        <f>J48+J52+J53</f>
        <v>220</v>
      </c>
      <c r="K54" s="947">
        <f>K48+K52+K53</f>
        <v>81681</v>
      </c>
      <c r="L54" s="947">
        <f>L48+L52+L53</f>
        <v>394</v>
      </c>
      <c r="M54" s="947">
        <f>M48+M52+M53</f>
        <v>82075</v>
      </c>
      <c r="N54" s="947">
        <f>SUM(N53,N48,N52)</f>
        <v>82075</v>
      </c>
      <c r="O54" s="1429">
        <f t="shared" si="23"/>
        <v>0</v>
      </c>
      <c r="P54" s="948">
        <f t="shared" si="23"/>
        <v>0</v>
      </c>
      <c r="Q54" s="953"/>
      <c r="R54" s="954"/>
      <c r="S54" s="937">
        <f t="shared" si="2"/>
        <v>82075</v>
      </c>
      <c r="AA54" s="524"/>
    </row>
    <row r="55" spans="1:27" s="520" customFormat="1" ht="24" customHeight="1" thickBot="1" x14ac:dyDescent="0.25">
      <c r="A55" s="697" t="s">
        <v>266</v>
      </c>
      <c r="B55" s="1629" t="s">
        <v>201</v>
      </c>
      <c r="C55" s="1630"/>
      <c r="D55" s="1630"/>
      <c r="E55" s="1630"/>
      <c r="F55" s="1630"/>
      <c r="G55" s="1630"/>
      <c r="H55" s="1630"/>
      <c r="I55" s="1630"/>
      <c r="J55" s="1630"/>
      <c r="K55" s="1630"/>
      <c r="L55" s="1630"/>
      <c r="M55" s="1630"/>
      <c r="N55" s="1630"/>
      <c r="O55" s="1630"/>
      <c r="P55" s="1631"/>
      <c r="Q55" s="690"/>
      <c r="R55" s="691"/>
      <c r="S55" s="694"/>
      <c r="AA55" s="521"/>
    </row>
    <row r="56" spans="1:27" s="495" customFormat="1" ht="16.899999999999999" customHeight="1" x14ac:dyDescent="0.2">
      <c r="A56" s="1610"/>
      <c r="B56" s="527" t="s">
        <v>41</v>
      </c>
      <c r="C56" s="933">
        <v>76704</v>
      </c>
      <c r="D56" s="933">
        <f>308+310</f>
        <v>618</v>
      </c>
      <c r="E56" s="933">
        <f>C56+D56</f>
        <v>77322</v>
      </c>
      <c r="F56" s="933">
        <f>200+115</f>
        <v>315</v>
      </c>
      <c r="G56" s="933">
        <f>E56+F56</f>
        <v>77637</v>
      </c>
      <c r="H56" s="933">
        <v>116</v>
      </c>
      <c r="I56" s="933">
        <f t="shared" ref="I56:I67" si="24">G56+H56</f>
        <v>77753</v>
      </c>
      <c r="J56" s="933">
        <f>232+52</f>
        <v>284</v>
      </c>
      <c r="K56" s="933">
        <f>I56+J56</f>
        <v>78037</v>
      </c>
      <c r="L56" s="933">
        <v>52</v>
      </c>
      <c r="M56" s="933">
        <f>K56+L56</f>
        <v>78089</v>
      </c>
      <c r="N56" s="933">
        <v>78089</v>
      </c>
      <c r="O56" s="933">
        <v>0</v>
      </c>
      <c r="P56" s="934">
        <v>0</v>
      </c>
      <c r="Q56" s="951"/>
      <c r="R56" s="952"/>
      <c r="S56" s="937">
        <f t="shared" si="2"/>
        <v>78089</v>
      </c>
      <c r="T56" s="956"/>
      <c r="AA56" s="524"/>
    </row>
    <row r="57" spans="1:27" s="495" customFormat="1" ht="30.95" customHeight="1" x14ac:dyDescent="0.2">
      <c r="A57" s="1611"/>
      <c r="B57" s="528" t="s">
        <v>309</v>
      </c>
      <c r="C57" s="938">
        <v>21922</v>
      </c>
      <c r="D57" s="938">
        <f>83+42</f>
        <v>125</v>
      </c>
      <c r="E57" s="933">
        <f>C57+D57</f>
        <v>22047</v>
      </c>
      <c r="F57" s="933">
        <f>54+15</f>
        <v>69</v>
      </c>
      <c r="G57" s="933">
        <f t="shared" ref="G57:G66" si="25">E57+F57</f>
        <v>22116</v>
      </c>
      <c r="H57" s="933">
        <v>31</v>
      </c>
      <c r="I57" s="933">
        <f t="shared" si="24"/>
        <v>22147</v>
      </c>
      <c r="J57" s="933">
        <f>31+14</f>
        <v>45</v>
      </c>
      <c r="K57" s="933">
        <f>I57+J57</f>
        <v>22192</v>
      </c>
      <c r="L57" s="933">
        <f>14+255+76</f>
        <v>345</v>
      </c>
      <c r="M57" s="933">
        <f>K57+L57</f>
        <v>22537</v>
      </c>
      <c r="N57" s="933">
        <v>22537</v>
      </c>
      <c r="O57" s="938">
        <v>0</v>
      </c>
      <c r="P57" s="939">
        <v>0</v>
      </c>
      <c r="Q57" s="951"/>
      <c r="R57" s="952"/>
      <c r="S57" s="937">
        <f t="shared" si="2"/>
        <v>22537</v>
      </c>
      <c r="T57" s="956"/>
      <c r="AA57" s="524"/>
    </row>
    <row r="58" spans="1:27" s="495" customFormat="1" ht="16.899999999999999" customHeight="1" x14ac:dyDescent="0.2">
      <c r="A58" s="1611"/>
      <c r="B58" s="528" t="s">
        <v>133</v>
      </c>
      <c r="C58" s="938">
        <v>7235</v>
      </c>
      <c r="D58" s="938">
        <f>1600-950+228</f>
        <v>878</v>
      </c>
      <c r="E58" s="933">
        <f>C58+D58</f>
        <v>8113</v>
      </c>
      <c r="F58" s="933"/>
      <c r="G58" s="933">
        <f t="shared" si="25"/>
        <v>8113</v>
      </c>
      <c r="H58" s="933">
        <v>800</v>
      </c>
      <c r="I58" s="933">
        <f t="shared" si="24"/>
        <v>8913</v>
      </c>
      <c r="J58" s="933"/>
      <c r="K58" s="933">
        <f>I58+J58</f>
        <v>8913</v>
      </c>
      <c r="L58" s="933">
        <v>150</v>
      </c>
      <c r="M58" s="933">
        <f>K58+L58</f>
        <v>9063</v>
      </c>
      <c r="N58" s="933">
        <v>9063</v>
      </c>
      <c r="O58" s="938">
        <v>0</v>
      </c>
      <c r="P58" s="939">
        <v>0</v>
      </c>
      <c r="Q58" s="951"/>
      <c r="R58" s="952"/>
      <c r="S58" s="937">
        <f t="shared" si="2"/>
        <v>9063</v>
      </c>
      <c r="T58" s="956"/>
      <c r="AA58" s="524"/>
    </row>
    <row r="59" spans="1:27" s="495" customFormat="1" ht="16.899999999999999" customHeight="1" x14ac:dyDescent="0.2">
      <c r="A59" s="1611"/>
      <c r="B59" s="528" t="s">
        <v>43</v>
      </c>
      <c r="C59" s="938">
        <v>0</v>
      </c>
      <c r="D59" s="938"/>
      <c r="E59" s="933">
        <f>C59+D59</f>
        <v>0</v>
      </c>
      <c r="F59" s="933"/>
      <c r="G59" s="933">
        <f t="shared" si="25"/>
        <v>0</v>
      </c>
      <c r="H59" s="933"/>
      <c r="I59" s="933">
        <f t="shared" si="24"/>
        <v>0</v>
      </c>
      <c r="J59" s="933"/>
      <c r="K59" s="933">
        <f>I59+J59</f>
        <v>0</v>
      </c>
      <c r="L59" s="933"/>
      <c r="M59" s="933">
        <f>K59+L59</f>
        <v>0</v>
      </c>
      <c r="N59" s="933">
        <f t="shared" ref="N59:N66" si="26">K59</f>
        <v>0</v>
      </c>
      <c r="O59" s="938">
        <v>0</v>
      </c>
      <c r="P59" s="939">
        <v>0</v>
      </c>
      <c r="Q59" s="951"/>
      <c r="R59" s="952"/>
      <c r="S59" s="937">
        <f t="shared" si="2"/>
        <v>0</v>
      </c>
      <c r="T59" s="956"/>
      <c r="AA59" s="524"/>
    </row>
    <row r="60" spans="1:27" s="495" customFormat="1" ht="16.899999999999999" customHeight="1" x14ac:dyDescent="0.2">
      <c r="A60" s="1611"/>
      <c r="B60" s="528" t="s">
        <v>368</v>
      </c>
      <c r="C60" s="938">
        <v>3300</v>
      </c>
      <c r="D60" s="938">
        <v>-3300</v>
      </c>
      <c r="E60" s="933">
        <f>C60+D60</f>
        <v>0</v>
      </c>
      <c r="F60" s="933"/>
      <c r="G60" s="933">
        <f t="shared" si="25"/>
        <v>0</v>
      </c>
      <c r="H60" s="933"/>
      <c r="I60" s="933">
        <f t="shared" si="24"/>
        <v>0</v>
      </c>
      <c r="J60" s="933"/>
      <c r="K60" s="933">
        <f>I60+J60</f>
        <v>0</v>
      </c>
      <c r="L60" s="933"/>
      <c r="M60" s="933">
        <f>K60+L60</f>
        <v>0</v>
      </c>
      <c r="N60" s="933">
        <f t="shared" si="26"/>
        <v>0</v>
      </c>
      <c r="O60" s="938">
        <v>0</v>
      </c>
      <c r="P60" s="939">
        <v>0</v>
      </c>
      <c r="Q60" s="951"/>
      <c r="R60" s="952"/>
      <c r="S60" s="937">
        <f t="shared" si="2"/>
        <v>0</v>
      </c>
      <c r="T60" s="956"/>
      <c r="AA60" s="524"/>
    </row>
    <row r="61" spans="1:27" s="496" customFormat="1" ht="16.899999999999999" customHeight="1" x14ac:dyDescent="0.2">
      <c r="A61" s="1611"/>
      <c r="B61" s="529" t="s">
        <v>369</v>
      </c>
      <c r="C61" s="940">
        <f t="shared" ref="C61:P61" si="27">SUM(C56:C60)</f>
        <v>109161</v>
      </c>
      <c r="D61" s="940">
        <f t="shared" si="27"/>
        <v>-1679</v>
      </c>
      <c r="E61" s="940">
        <f t="shared" si="27"/>
        <v>107482</v>
      </c>
      <c r="F61" s="940">
        <f t="shared" si="27"/>
        <v>384</v>
      </c>
      <c r="G61" s="940">
        <f t="shared" si="27"/>
        <v>107866</v>
      </c>
      <c r="H61" s="940">
        <f>SUM(H56:H60)</f>
        <v>947</v>
      </c>
      <c r="I61" s="958">
        <f t="shared" si="24"/>
        <v>108813</v>
      </c>
      <c r="J61" s="958">
        <f>SUM(J56:J60)</f>
        <v>329</v>
      </c>
      <c r="K61" s="958">
        <f>SUM(K56:K60)</f>
        <v>109142</v>
      </c>
      <c r="L61" s="958">
        <f>SUM(L56:L60)</f>
        <v>547</v>
      </c>
      <c r="M61" s="958">
        <f>SUM(M56:M60)</f>
        <v>109689</v>
      </c>
      <c r="N61" s="958">
        <f>SUM(N56:N60)</f>
        <v>109689</v>
      </c>
      <c r="O61" s="940">
        <f t="shared" si="27"/>
        <v>0</v>
      </c>
      <c r="P61" s="941">
        <f t="shared" si="27"/>
        <v>0</v>
      </c>
      <c r="Q61" s="953"/>
      <c r="R61" s="954"/>
      <c r="S61" s="937">
        <f t="shared" si="2"/>
        <v>109689</v>
      </c>
      <c r="T61" s="957"/>
      <c r="AA61" s="524"/>
    </row>
    <row r="62" spans="1:27" s="495" customFormat="1" ht="16.899999999999999" customHeight="1" x14ac:dyDescent="0.2">
      <c r="A62" s="1611"/>
      <c r="B62" s="528" t="s">
        <v>370</v>
      </c>
      <c r="C62" s="938">
        <v>0</v>
      </c>
      <c r="D62" s="938">
        <v>1600</v>
      </c>
      <c r="E62" s="938">
        <f>C62+D62</f>
        <v>1600</v>
      </c>
      <c r="F62" s="938"/>
      <c r="G62" s="933">
        <f t="shared" si="25"/>
        <v>1600</v>
      </c>
      <c r="H62" s="933">
        <v>-800</v>
      </c>
      <c r="I62" s="933">
        <f t="shared" si="24"/>
        <v>800</v>
      </c>
      <c r="J62" s="933"/>
      <c r="K62" s="933">
        <f>I62+J62</f>
        <v>800</v>
      </c>
      <c r="L62" s="933">
        <v>2</v>
      </c>
      <c r="M62" s="933">
        <f>K62+L62</f>
        <v>802</v>
      </c>
      <c r="N62" s="933">
        <v>802</v>
      </c>
      <c r="O62" s="938">
        <v>0</v>
      </c>
      <c r="P62" s="939">
        <v>0</v>
      </c>
      <c r="Q62" s="951"/>
      <c r="R62" s="952"/>
      <c r="S62" s="937">
        <f t="shared" si="2"/>
        <v>802</v>
      </c>
      <c r="T62" s="956"/>
      <c r="AA62" s="524"/>
    </row>
    <row r="63" spans="1:27" s="495" customFormat="1" ht="16.899999999999999" customHeight="1" x14ac:dyDescent="0.2">
      <c r="A63" s="1611"/>
      <c r="B63" s="528" t="s">
        <v>55</v>
      </c>
      <c r="C63" s="938">
        <v>0</v>
      </c>
      <c r="D63" s="938">
        <v>643</v>
      </c>
      <c r="E63" s="938">
        <f>C63+D63</f>
        <v>643</v>
      </c>
      <c r="F63" s="938"/>
      <c r="G63" s="933">
        <f t="shared" si="25"/>
        <v>643</v>
      </c>
      <c r="H63" s="933"/>
      <c r="I63" s="933">
        <f t="shared" si="24"/>
        <v>643</v>
      </c>
      <c r="J63" s="933"/>
      <c r="K63" s="933">
        <f>I63+J63</f>
        <v>643</v>
      </c>
      <c r="L63" s="933"/>
      <c r="M63" s="933">
        <f>K63+L63</f>
        <v>643</v>
      </c>
      <c r="N63" s="933">
        <f t="shared" si="26"/>
        <v>643</v>
      </c>
      <c r="O63" s="938">
        <v>0</v>
      </c>
      <c r="P63" s="939">
        <v>0</v>
      </c>
      <c r="Q63" s="951"/>
      <c r="R63" s="952"/>
      <c r="S63" s="937">
        <f t="shared" si="2"/>
        <v>643</v>
      </c>
      <c r="T63" s="956"/>
      <c r="AA63" s="524"/>
    </row>
    <row r="64" spans="1:27" s="495" customFormat="1" ht="16.899999999999999" customHeight="1" x14ac:dyDescent="0.2">
      <c r="A64" s="1611"/>
      <c r="B64" s="528" t="s">
        <v>371</v>
      </c>
      <c r="C64" s="938">
        <v>0</v>
      </c>
      <c r="D64" s="938">
        <v>0</v>
      </c>
      <c r="E64" s="938">
        <f>C64+D64</f>
        <v>0</v>
      </c>
      <c r="F64" s="938"/>
      <c r="G64" s="933">
        <f t="shared" si="25"/>
        <v>0</v>
      </c>
      <c r="H64" s="933"/>
      <c r="I64" s="933">
        <f t="shared" si="24"/>
        <v>0</v>
      </c>
      <c r="J64" s="933"/>
      <c r="K64" s="933">
        <f>I64+J64</f>
        <v>0</v>
      </c>
      <c r="L64" s="933"/>
      <c r="M64" s="933">
        <f>K64+L64</f>
        <v>0</v>
      </c>
      <c r="N64" s="933">
        <f t="shared" si="26"/>
        <v>0</v>
      </c>
      <c r="O64" s="938">
        <v>0</v>
      </c>
      <c r="P64" s="939">
        <v>0</v>
      </c>
      <c r="Q64" s="951"/>
      <c r="R64" s="952"/>
      <c r="S64" s="937">
        <f t="shared" si="2"/>
        <v>0</v>
      </c>
      <c r="T64" s="956"/>
      <c r="AA64" s="524"/>
    </row>
    <row r="65" spans="1:27" s="496" customFormat="1" ht="16.899999999999999" customHeight="1" x14ac:dyDescent="0.2">
      <c r="A65" s="1611"/>
      <c r="B65" s="529" t="s">
        <v>372</v>
      </c>
      <c r="C65" s="940">
        <f t="shared" ref="C65:P65" si="28">SUM(C62:C64)</f>
        <v>0</v>
      </c>
      <c r="D65" s="940">
        <f t="shared" si="28"/>
        <v>2243</v>
      </c>
      <c r="E65" s="940">
        <f t="shared" si="28"/>
        <v>2243</v>
      </c>
      <c r="F65" s="940">
        <f t="shared" si="28"/>
        <v>0</v>
      </c>
      <c r="G65" s="940">
        <f t="shared" si="28"/>
        <v>2243</v>
      </c>
      <c r="H65" s="940">
        <f>SUM(H62:H64)</f>
        <v>-800</v>
      </c>
      <c r="I65" s="958">
        <f t="shared" si="24"/>
        <v>1443</v>
      </c>
      <c r="J65" s="958">
        <f>SUM(J62:J64)</f>
        <v>0</v>
      </c>
      <c r="K65" s="958">
        <f>SUM(K62:K64)</f>
        <v>1443</v>
      </c>
      <c r="L65" s="958">
        <f>SUM(L62:L64)</f>
        <v>2</v>
      </c>
      <c r="M65" s="958">
        <f>SUM(M62:M64)</f>
        <v>1445</v>
      </c>
      <c r="N65" s="958">
        <f>SUM(N62:N64)</f>
        <v>1445</v>
      </c>
      <c r="O65" s="940">
        <f t="shared" si="28"/>
        <v>0</v>
      </c>
      <c r="P65" s="941">
        <f t="shared" si="28"/>
        <v>0</v>
      </c>
      <c r="Q65" s="953"/>
      <c r="R65" s="954"/>
      <c r="S65" s="937">
        <f t="shared" si="2"/>
        <v>1445</v>
      </c>
      <c r="T65" s="957"/>
      <c r="AA65" s="524"/>
    </row>
    <row r="66" spans="1:27" s="495" customFormat="1" ht="16.899999999999999" customHeight="1" thickBot="1" x14ac:dyDescent="0.25">
      <c r="A66" s="1611"/>
      <c r="B66" s="695" t="s">
        <v>139</v>
      </c>
      <c r="C66" s="944"/>
      <c r="D66" s="944"/>
      <c r="E66" s="944">
        <f>C66+D66</f>
        <v>0</v>
      </c>
      <c r="F66" s="944"/>
      <c r="G66" s="1418">
        <f t="shared" si="25"/>
        <v>0</v>
      </c>
      <c r="H66" s="1418"/>
      <c r="I66" s="1418">
        <f t="shared" si="24"/>
        <v>0</v>
      </c>
      <c r="J66" s="1418"/>
      <c r="K66" s="1418">
        <f>I66+J66</f>
        <v>0</v>
      </c>
      <c r="L66" s="1418"/>
      <c r="M66" s="1418">
        <f>K66+L66</f>
        <v>0</v>
      </c>
      <c r="N66" s="1418">
        <f t="shared" si="26"/>
        <v>0</v>
      </c>
      <c r="O66" s="945"/>
      <c r="P66" s="946"/>
      <c r="Q66" s="951"/>
      <c r="R66" s="952"/>
      <c r="S66" s="937">
        <f t="shared" si="2"/>
        <v>0</v>
      </c>
      <c r="T66" s="956"/>
      <c r="AA66" s="524"/>
    </row>
    <row r="67" spans="1:27" s="496" customFormat="1" ht="16.899999999999999" customHeight="1" thickBot="1" x14ac:dyDescent="0.25">
      <c r="A67" s="1612"/>
      <c r="B67" s="1421" t="s">
        <v>134</v>
      </c>
      <c r="C67" s="947">
        <f t="shared" ref="C67:P67" si="29">C61+C65+C66</f>
        <v>109161</v>
      </c>
      <c r="D67" s="947">
        <f t="shared" si="29"/>
        <v>564</v>
      </c>
      <c r="E67" s="947">
        <f t="shared" si="29"/>
        <v>109725</v>
      </c>
      <c r="F67" s="947">
        <f t="shared" si="29"/>
        <v>384</v>
      </c>
      <c r="G67" s="947">
        <f t="shared" si="29"/>
        <v>110109</v>
      </c>
      <c r="H67" s="947">
        <f>H61+H65+H66</f>
        <v>147</v>
      </c>
      <c r="I67" s="947">
        <f t="shared" si="24"/>
        <v>110256</v>
      </c>
      <c r="J67" s="947">
        <f>J61+J65+J66</f>
        <v>329</v>
      </c>
      <c r="K67" s="947">
        <f>K61+K65+K66</f>
        <v>110585</v>
      </c>
      <c r="L67" s="947">
        <f>L61+L65+L66</f>
        <v>549</v>
      </c>
      <c r="M67" s="947">
        <f>M61+M65+M66</f>
        <v>111134</v>
      </c>
      <c r="N67" s="947">
        <f>SUM(N61,N65,N66)</f>
        <v>111134</v>
      </c>
      <c r="O67" s="947">
        <f t="shared" si="29"/>
        <v>0</v>
      </c>
      <c r="P67" s="948">
        <f t="shared" si="29"/>
        <v>0</v>
      </c>
      <c r="Q67" s="953"/>
      <c r="R67" s="954"/>
      <c r="S67" s="937">
        <f t="shared" si="2"/>
        <v>111134</v>
      </c>
      <c r="T67" s="957"/>
      <c r="AA67" s="524"/>
    </row>
    <row r="68" spans="1:27" s="520" customFormat="1" ht="24" customHeight="1" thickBot="1" x14ac:dyDescent="0.25">
      <c r="A68" s="497" t="s">
        <v>267</v>
      </c>
      <c r="B68" s="1632" t="s">
        <v>491</v>
      </c>
      <c r="C68" s="1633"/>
      <c r="D68" s="1633"/>
      <c r="E68" s="1633"/>
      <c r="F68" s="1633"/>
      <c r="G68" s="1633"/>
      <c r="H68" s="1633"/>
      <c r="I68" s="1633"/>
      <c r="J68" s="1633"/>
      <c r="K68" s="1633"/>
      <c r="L68" s="1633"/>
      <c r="M68" s="1633"/>
      <c r="N68" s="1633"/>
      <c r="O68" s="1633"/>
      <c r="P68" s="1634"/>
      <c r="Q68" s="690"/>
      <c r="R68" s="691"/>
      <c r="S68" s="694"/>
      <c r="AA68" s="521"/>
    </row>
    <row r="69" spans="1:27" s="495" customFormat="1" ht="16.899999999999999" customHeight="1" x14ac:dyDescent="0.2">
      <c r="A69" s="1610"/>
      <c r="B69" s="527" t="s">
        <v>41</v>
      </c>
      <c r="C69" s="933">
        <v>67756</v>
      </c>
      <c r="D69" s="933">
        <f>395+240</f>
        <v>635</v>
      </c>
      <c r="E69" s="933">
        <f>C69+D69</f>
        <v>68391</v>
      </c>
      <c r="F69" s="933">
        <f>233+144</f>
        <v>377</v>
      </c>
      <c r="G69" s="933">
        <f>E69+F69</f>
        <v>68768</v>
      </c>
      <c r="H69" s="933">
        <v>152</v>
      </c>
      <c r="I69" s="933">
        <f t="shared" ref="I69:I80" si="30">G69+H69</f>
        <v>68920</v>
      </c>
      <c r="J69" s="933">
        <f>229+74</f>
        <v>303</v>
      </c>
      <c r="K69" s="933">
        <f>I69+J69</f>
        <v>69223</v>
      </c>
      <c r="L69" s="933">
        <f>74+390</f>
        <v>464</v>
      </c>
      <c r="M69" s="933">
        <f>K69+L69</f>
        <v>69687</v>
      </c>
      <c r="N69" s="933">
        <v>69687</v>
      </c>
      <c r="O69" s="933">
        <v>0</v>
      </c>
      <c r="P69" s="934">
        <v>0</v>
      </c>
      <c r="Q69" s="951"/>
      <c r="R69" s="952"/>
      <c r="S69" s="937">
        <f t="shared" ref="S69:S132" si="31">N69+O69+P69</f>
        <v>69687</v>
      </c>
      <c r="T69" s="956"/>
      <c r="AA69" s="524"/>
    </row>
    <row r="70" spans="1:27" s="495" customFormat="1" ht="30.95" customHeight="1" x14ac:dyDescent="0.2">
      <c r="A70" s="1611"/>
      <c r="B70" s="528" t="s">
        <v>309</v>
      </c>
      <c r="C70" s="938">
        <v>18335</v>
      </c>
      <c r="D70" s="938">
        <f>107+32</f>
        <v>139</v>
      </c>
      <c r="E70" s="933">
        <f>C70+D70</f>
        <v>18474</v>
      </c>
      <c r="F70" s="933">
        <f>63+20</f>
        <v>83</v>
      </c>
      <c r="G70" s="933">
        <f t="shared" ref="G70:G79" si="32">E70+F70</f>
        <v>18557</v>
      </c>
      <c r="H70" s="933">
        <v>41</v>
      </c>
      <c r="I70" s="933">
        <f t="shared" si="30"/>
        <v>18598</v>
      </c>
      <c r="J70" s="933">
        <f>30+20</f>
        <v>50</v>
      </c>
      <c r="K70" s="933">
        <f>I70+J70</f>
        <v>18648</v>
      </c>
      <c r="L70" s="933">
        <f>20+57</f>
        <v>77</v>
      </c>
      <c r="M70" s="933">
        <f>K70+L70</f>
        <v>18725</v>
      </c>
      <c r="N70" s="933">
        <v>18725</v>
      </c>
      <c r="O70" s="938">
        <v>0</v>
      </c>
      <c r="P70" s="939">
        <v>0</v>
      </c>
      <c r="Q70" s="951"/>
      <c r="R70" s="952"/>
      <c r="S70" s="937">
        <f t="shared" si="31"/>
        <v>18725</v>
      </c>
      <c r="T70" s="956"/>
      <c r="AA70" s="524"/>
    </row>
    <row r="71" spans="1:27" s="495" customFormat="1" ht="16.899999999999999" customHeight="1" x14ac:dyDescent="0.2">
      <c r="A71" s="1611"/>
      <c r="B71" s="528" t="s">
        <v>133</v>
      </c>
      <c r="C71" s="938">
        <v>9100</v>
      </c>
      <c r="D71" s="938">
        <f>381-741</f>
        <v>-360</v>
      </c>
      <c r="E71" s="933">
        <f>C71+D71</f>
        <v>8740</v>
      </c>
      <c r="F71" s="933"/>
      <c r="G71" s="933">
        <f t="shared" si="32"/>
        <v>8740</v>
      </c>
      <c r="H71" s="933"/>
      <c r="I71" s="933">
        <f t="shared" si="30"/>
        <v>8740</v>
      </c>
      <c r="J71" s="933"/>
      <c r="K71" s="933">
        <f>I71+J71</f>
        <v>8740</v>
      </c>
      <c r="L71" s="933">
        <f>77+400</f>
        <v>477</v>
      </c>
      <c r="M71" s="933">
        <f>K71+L71</f>
        <v>9217</v>
      </c>
      <c r="N71" s="933">
        <v>9217</v>
      </c>
      <c r="O71" s="938">
        <v>0</v>
      </c>
      <c r="P71" s="939">
        <v>0</v>
      </c>
      <c r="Q71" s="951"/>
      <c r="R71" s="952"/>
      <c r="S71" s="937">
        <f t="shared" si="31"/>
        <v>9217</v>
      </c>
      <c r="T71" s="956"/>
      <c r="AA71" s="524"/>
    </row>
    <row r="72" spans="1:27" s="495" customFormat="1" ht="16.899999999999999" customHeight="1" x14ac:dyDescent="0.2">
      <c r="A72" s="1611"/>
      <c r="B72" s="528" t="s">
        <v>43</v>
      </c>
      <c r="C72" s="938">
        <v>0</v>
      </c>
      <c r="D72" s="938"/>
      <c r="E72" s="933">
        <f>C72+D72</f>
        <v>0</v>
      </c>
      <c r="F72" s="933"/>
      <c r="G72" s="933">
        <f t="shared" si="32"/>
        <v>0</v>
      </c>
      <c r="H72" s="933"/>
      <c r="I72" s="933">
        <f t="shared" si="30"/>
        <v>0</v>
      </c>
      <c r="J72" s="933"/>
      <c r="K72" s="933">
        <f>I72+J72</f>
        <v>0</v>
      </c>
      <c r="L72" s="933"/>
      <c r="M72" s="933">
        <f>K72+L72</f>
        <v>0</v>
      </c>
      <c r="N72" s="933">
        <f t="shared" ref="N72:N79" si="33">K72</f>
        <v>0</v>
      </c>
      <c r="O72" s="938">
        <v>0</v>
      </c>
      <c r="P72" s="939">
        <v>0</v>
      </c>
      <c r="Q72" s="951"/>
      <c r="R72" s="952"/>
      <c r="S72" s="937">
        <f t="shared" si="31"/>
        <v>0</v>
      </c>
      <c r="T72" s="956"/>
      <c r="AA72" s="524"/>
    </row>
    <row r="73" spans="1:27" s="495" customFormat="1" ht="16.899999999999999" customHeight="1" x14ac:dyDescent="0.2">
      <c r="A73" s="1611"/>
      <c r="B73" s="528" t="s">
        <v>368</v>
      </c>
      <c r="C73" s="938">
        <v>1000</v>
      </c>
      <c r="D73" s="938">
        <v>-1000</v>
      </c>
      <c r="E73" s="933">
        <f>C73+D73</f>
        <v>0</v>
      </c>
      <c r="F73" s="933"/>
      <c r="G73" s="933">
        <f t="shared" si="32"/>
        <v>0</v>
      </c>
      <c r="H73" s="933"/>
      <c r="I73" s="933">
        <f t="shared" si="30"/>
        <v>0</v>
      </c>
      <c r="J73" s="933"/>
      <c r="K73" s="933">
        <f>I73+J73</f>
        <v>0</v>
      </c>
      <c r="L73" s="933"/>
      <c r="M73" s="933">
        <f>K73+L73</f>
        <v>0</v>
      </c>
      <c r="N73" s="933">
        <f t="shared" si="33"/>
        <v>0</v>
      </c>
      <c r="O73" s="938">
        <v>0</v>
      </c>
      <c r="P73" s="939">
        <v>0</v>
      </c>
      <c r="Q73" s="951"/>
      <c r="R73" s="952"/>
      <c r="S73" s="937">
        <f t="shared" si="31"/>
        <v>0</v>
      </c>
      <c r="T73" s="956"/>
      <c r="AA73" s="524"/>
    </row>
    <row r="74" spans="1:27" s="496" customFormat="1" ht="16.899999999999999" customHeight="1" x14ac:dyDescent="0.2">
      <c r="A74" s="1611"/>
      <c r="B74" s="529" t="s">
        <v>369</v>
      </c>
      <c r="C74" s="940">
        <f t="shared" ref="C74:P74" si="34">SUM(C69:C73)</f>
        <v>96191</v>
      </c>
      <c r="D74" s="940">
        <f t="shared" si="34"/>
        <v>-586</v>
      </c>
      <c r="E74" s="940">
        <f t="shared" si="34"/>
        <v>95605</v>
      </c>
      <c r="F74" s="940">
        <f t="shared" si="34"/>
        <v>460</v>
      </c>
      <c r="G74" s="940">
        <f t="shared" si="34"/>
        <v>96065</v>
      </c>
      <c r="H74" s="940">
        <f>SUM(H69:H73)</f>
        <v>193</v>
      </c>
      <c r="I74" s="958">
        <f t="shared" si="30"/>
        <v>96258</v>
      </c>
      <c r="J74" s="958">
        <f>SUM(J69:J73)</f>
        <v>353</v>
      </c>
      <c r="K74" s="958">
        <f>SUM(K69:K73)</f>
        <v>96611</v>
      </c>
      <c r="L74" s="958">
        <f>SUM(L69:L73)</f>
        <v>1018</v>
      </c>
      <c r="M74" s="958">
        <f>SUM(M69:M73)</f>
        <v>97629</v>
      </c>
      <c r="N74" s="958">
        <f>SUM(N69:N73)</f>
        <v>97629</v>
      </c>
      <c r="O74" s="940">
        <f t="shared" si="34"/>
        <v>0</v>
      </c>
      <c r="P74" s="941">
        <f t="shared" si="34"/>
        <v>0</v>
      </c>
      <c r="Q74" s="953"/>
      <c r="R74" s="954"/>
      <c r="S74" s="937">
        <f t="shared" si="31"/>
        <v>97629</v>
      </c>
      <c r="T74" s="957"/>
      <c r="AA74" s="524"/>
    </row>
    <row r="75" spans="1:27" s="495" customFormat="1" ht="16.899999999999999" customHeight="1" x14ac:dyDescent="0.2">
      <c r="A75" s="1611"/>
      <c r="B75" s="528" t="s">
        <v>370</v>
      </c>
      <c r="C75" s="938">
        <v>0</v>
      </c>
      <c r="D75" s="938">
        <f>850+77</f>
        <v>927</v>
      </c>
      <c r="E75" s="938">
        <f>C75+D75</f>
        <v>927</v>
      </c>
      <c r="F75" s="938"/>
      <c r="G75" s="933">
        <f t="shared" si="32"/>
        <v>927</v>
      </c>
      <c r="H75" s="933"/>
      <c r="I75" s="933">
        <f t="shared" si="30"/>
        <v>927</v>
      </c>
      <c r="J75" s="933"/>
      <c r="K75" s="933">
        <f>I75+J75</f>
        <v>927</v>
      </c>
      <c r="L75" s="933"/>
      <c r="M75" s="933">
        <f>K75+L75</f>
        <v>927</v>
      </c>
      <c r="N75" s="933">
        <f t="shared" si="33"/>
        <v>927</v>
      </c>
      <c r="O75" s="938">
        <v>0</v>
      </c>
      <c r="P75" s="939">
        <v>0</v>
      </c>
      <c r="Q75" s="951"/>
      <c r="R75" s="952"/>
      <c r="S75" s="937">
        <f t="shared" si="31"/>
        <v>927</v>
      </c>
      <c r="T75" s="956"/>
      <c r="AA75" s="524"/>
    </row>
    <row r="76" spans="1:27" s="495" customFormat="1" ht="16.899999999999999" customHeight="1" x14ac:dyDescent="0.2">
      <c r="A76" s="1611"/>
      <c r="B76" s="528" t="s">
        <v>55</v>
      </c>
      <c r="C76" s="938">
        <v>0</v>
      </c>
      <c r="D76" s="938">
        <v>400</v>
      </c>
      <c r="E76" s="938">
        <f>C76+D76</f>
        <v>400</v>
      </c>
      <c r="F76" s="938"/>
      <c r="G76" s="933">
        <f t="shared" si="32"/>
        <v>400</v>
      </c>
      <c r="H76" s="933"/>
      <c r="I76" s="933">
        <f t="shared" si="30"/>
        <v>400</v>
      </c>
      <c r="J76" s="933"/>
      <c r="K76" s="933">
        <f>I76+J76</f>
        <v>400</v>
      </c>
      <c r="L76" s="933">
        <v>-400</v>
      </c>
      <c r="M76" s="933">
        <f>K76+L76</f>
        <v>0</v>
      </c>
      <c r="N76" s="933">
        <v>0</v>
      </c>
      <c r="O76" s="938">
        <v>0</v>
      </c>
      <c r="P76" s="939">
        <v>0</v>
      </c>
      <c r="Q76" s="951"/>
      <c r="R76" s="952"/>
      <c r="S76" s="937">
        <f t="shared" si="31"/>
        <v>0</v>
      </c>
      <c r="T76" s="956"/>
      <c r="AA76" s="524"/>
    </row>
    <row r="77" spans="1:27" s="495" customFormat="1" ht="16.899999999999999" customHeight="1" x14ac:dyDescent="0.2">
      <c r="A77" s="1611"/>
      <c r="B77" s="528" t="s">
        <v>371</v>
      </c>
      <c r="C77" s="938">
        <v>0</v>
      </c>
      <c r="D77" s="938"/>
      <c r="E77" s="938">
        <f>C77+D77</f>
        <v>0</v>
      </c>
      <c r="F77" s="938"/>
      <c r="G77" s="933">
        <f t="shared" si="32"/>
        <v>0</v>
      </c>
      <c r="H77" s="933"/>
      <c r="I77" s="933">
        <f t="shared" si="30"/>
        <v>0</v>
      </c>
      <c r="J77" s="933"/>
      <c r="K77" s="933">
        <f>I77+J77</f>
        <v>0</v>
      </c>
      <c r="L77" s="933"/>
      <c r="M77" s="933">
        <f>K77+L77</f>
        <v>0</v>
      </c>
      <c r="N77" s="933">
        <f t="shared" si="33"/>
        <v>0</v>
      </c>
      <c r="O77" s="938">
        <v>0</v>
      </c>
      <c r="P77" s="939">
        <v>0</v>
      </c>
      <c r="Q77" s="951"/>
      <c r="R77" s="952"/>
      <c r="S77" s="937">
        <f t="shared" si="31"/>
        <v>0</v>
      </c>
      <c r="T77" s="956"/>
      <c r="AA77" s="524"/>
    </row>
    <row r="78" spans="1:27" s="496" customFormat="1" ht="16.899999999999999" customHeight="1" x14ac:dyDescent="0.2">
      <c r="A78" s="1611"/>
      <c r="B78" s="529" t="s">
        <v>372</v>
      </c>
      <c r="C78" s="940">
        <f t="shared" ref="C78:P78" si="35">SUM(C75:C77)</f>
        <v>0</v>
      </c>
      <c r="D78" s="940">
        <f t="shared" si="35"/>
        <v>1327</v>
      </c>
      <c r="E78" s="940">
        <f t="shared" si="35"/>
        <v>1327</v>
      </c>
      <c r="F78" s="940">
        <f t="shared" si="35"/>
        <v>0</v>
      </c>
      <c r="G78" s="940">
        <f t="shared" si="35"/>
        <v>1327</v>
      </c>
      <c r="H78" s="940">
        <f>SUM(H75:H77)</f>
        <v>0</v>
      </c>
      <c r="I78" s="958">
        <f t="shared" si="30"/>
        <v>1327</v>
      </c>
      <c r="J78" s="958">
        <f>SUM(J75:J77)</f>
        <v>0</v>
      </c>
      <c r="K78" s="958">
        <f>SUM(K75:K77)</f>
        <v>1327</v>
      </c>
      <c r="L78" s="958">
        <f>SUM(L75:L77)</f>
        <v>-400</v>
      </c>
      <c r="M78" s="958">
        <f>SUM(M75:M77)</f>
        <v>927</v>
      </c>
      <c r="N78" s="958">
        <f>SUM(N75:N77)</f>
        <v>927</v>
      </c>
      <c r="O78" s="940">
        <f t="shared" si="35"/>
        <v>0</v>
      </c>
      <c r="P78" s="941">
        <f t="shared" si="35"/>
        <v>0</v>
      </c>
      <c r="Q78" s="953"/>
      <c r="R78" s="954"/>
      <c r="S78" s="937">
        <f t="shared" si="31"/>
        <v>927</v>
      </c>
      <c r="T78" s="957"/>
      <c r="AA78" s="524"/>
    </row>
    <row r="79" spans="1:27" s="495" customFormat="1" ht="16.899999999999999" customHeight="1" thickBot="1" x14ac:dyDescent="0.25">
      <c r="A79" s="1611"/>
      <c r="B79" s="695" t="s">
        <v>139</v>
      </c>
      <c r="C79" s="944"/>
      <c r="D79" s="944"/>
      <c r="E79" s="944">
        <f>C79+D79</f>
        <v>0</v>
      </c>
      <c r="F79" s="944"/>
      <c r="G79" s="1418">
        <f t="shared" si="32"/>
        <v>0</v>
      </c>
      <c r="H79" s="1418"/>
      <c r="I79" s="1418">
        <f t="shared" si="30"/>
        <v>0</v>
      </c>
      <c r="J79" s="1418"/>
      <c r="K79" s="1418">
        <f>I79+J79</f>
        <v>0</v>
      </c>
      <c r="L79" s="1418"/>
      <c r="M79" s="1418">
        <f>K79+L79</f>
        <v>0</v>
      </c>
      <c r="N79" s="1418">
        <f t="shared" si="33"/>
        <v>0</v>
      </c>
      <c r="O79" s="945"/>
      <c r="P79" s="946"/>
      <c r="Q79" s="951"/>
      <c r="R79" s="952"/>
      <c r="S79" s="937">
        <f t="shared" si="31"/>
        <v>0</v>
      </c>
      <c r="T79" s="956"/>
      <c r="AA79" s="524"/>
    </row>
    <row r="80" spans="1:27" s="496" customFormat="1" ht="16.899999999999999" customHeight="1" thickBot="1" x14ac:dyDescent="0.25">
      <c r="A80" s="1612"/>
      <c r="B80" s="1421" t="s">
        <v>134</v>
      </c>
      <c r="C80" s="947">
        <f t="shared" ref="C80:R80" si="36">C74+C78+C79</f>
        <v>96191</v>
      </c>
      <c r="D80" s="947">
        <f t="shared" si="36"/>
        <v>741</v>
      </c>
      <c r="E80" s="947">
        <f t="shared" si="36"/>
        <v>96932</v>
      </c>
      <c r="F80" s="947">
        <f t="shared" si="36"/>
        <v>460</v>
      </c>
      <c r="G80" s="947">
        <f t="shared" si="36"/>
        <v>97392</v>
      </c>
      <c r="H80" s="947">
        <f>H74+H78+H79</f>
        <v>193</v>
      </c>
      <c r="I80" s="947">
        <f t="shared" si="30"/>
        <v>97585</v>
      </c>
      <c r="J80" s="947">
        <f>J74+J78+J79</f>
        <v>353</v>
      </c>
      <c r="K80" s="947">
        <f>K74+K78+K79</f>
        <v>97938</v>
      </c>
      <c r="L80" s="947">
        <f>L74+L78+L79</f>
        <v>618</v>
      </c>
      <c r="M80" s="947">
        <f>M74+M78+M79</f>
        <v>98556</v>
      </c>
      <c r="N80" s="947">
        <f>SUM(N79,N74,N78)</f>
        <v>98556</v>
      </c>
      <c r="O80" s="947">
        <f t="shared" si="36"/>
        <v>0</v>
      </c>
      <c r="P80" s="948">
        <f t="shared" si="36"/>
        <v>0</v>
      </c>
      <c r="Q80" s="955">
        <f t="shared" si="36"/>
        <v>0</v>
      </c>
      <c r="R80" s="940">
        <f t="shared" si="36"/>
        <v>0</v>
      </c>
      <c r="S80" s="937">
        <f t="shared" si="31"/>
        <v>98556</v>
      </c>
      <c r="T80" s="957"/>
      <c r="AA80" s="524"/>
    </row>
    <row r="81" spans="1:27" s="520" customFormat="1" ht="24" customHeight="1" thickBot="1" x14ac:dyDescent="0.25">
      <c r="A81" s="697" t="s">
        <v>268</v>
      </c>
      <c r="B81" s="1629" t="s">
        <v>455</v>
      </c>
      <c r="C81" s="1630"/>
      <c r="D81" s="1630"/>
      <c r="E81" s="1630"/>
      <c r="F81" s="1630"/>
      <c r="G81" s="1630"/>
      <c r="H81" s="1630"/>
      <c r="I81" s="1630"/>
      <c r="J81" s="1630"/>
      <c r="K81" s="1630"/>
      <c r="L81" s="1630"/>
      <c r="M81" s="1630"/>
      <c r="N81" s="1630"/>
      <c r="O81" s="1630"/>
      <c r="P81" s="1631"/>
      <c r="Q81" s="690"/>
      <c r="R81" s="691"/>
      <c r="S81" s="694"/>
      <c r="AA81" s="521"/>
    </row>
    <row r="82" spans="1:27" s="495" customFormat="1" ht="16.899999999999999" customHeight="1" x14ac:dyDescent="0.2">
      <c r="A82" s="1610"/>
      <c r="B82" s="527" t="s">
        <v>41</v>
      </c>
      <c r="C82" s="933">
        <f t="shared" ref="C82:D86" si="37">C95+C108+C121+C134+C147+C160</f>
        <v>171701</v>
      </c>
      <c r="D82" s="933">
        <f t="shared" si="37"/>
        <v>9954</v>
      </c>
      <c r="E82" s="933">
        <f>C82+D82</f>
        <v>181655</v>
      </c>
      <c r="F82" s="933">
        <f>F95+F108+F121+F134+F147+F160</f>
        <v>9897</v>
      </c>
      <c r="G82" s="933">
        <f>E82+F82</f>
        <v>191552</v>
      </c>
      <c r="H82" s="933">
        <f>H108+H121+H134+H160+H95+H147</f>
        <v>11141</v>
      </c>
      <c r="I82" s="933">
        <f>I108+I121+I134+I160+I95+I147</f>
        <v>202693</v>
      </c>
      <c r="J82" s="933">
        <f>J95+J108+J121+J134+J147+J160</f>
        <v>5883</v>
      </c>
      <c r="K82" s="933">
        <f>I82+J82</f>
        <v>208576</v>
      </c>
      <c r="L82" s="933">
        <f t="shared" ref="L82:L92" si="38">L95+L108+L121+L134+L147+L160</f>
        <v>15179</v>
      </c>
      <c r="M82" s="933">
        <f>K82+L82</f>
        <v>223755</v>
      </c>
      <c r="N82" s="933">
        <f>N108+N121+N134+N160+N95+N147</f>
        <v>221939</v>
      </c>
      <c r="O82" s="933">
        <f>O95+O108+O121+O134+O147+O160</f>
        <v>1816</v>
      </c>
      <c r="P82" s="934">
        <v>0</v>
      </c>
      <c r="Q82" s="951"/>
      <c r="R82" s="952"/>
      <c r="S82" s="937">
        <f t="shared" si="31"/>
        <v>223755</v>
      </c>
      <c r="AA82" s="524"/>
    </row>
    <row r="83" spans="1:27" s="495" customFormat="1" ht="30.95" customHeight="1" x14ac:dyDescent="0.2">
      <c r="A83" s="1611"/>
      <c r="B83" s="528" t="s">
        <v>309</v>
      </c>
      <c r="C83" s="933">
        <f t="shared" si="37"/>
        <v>52020</v>
      </c>
      <c r="D83" s="933">
        <f t="shared" si="37"/>
        <v>1649</v>
      </c>
      <c r="E83" s="933">
        <f>C83+D83</f>
        <v>53669</v>
      </c>
      <c r="F83" s="933">
        <f>F96+F109+F122+F148+F161</f>
        <v>1512</v>
      </c>
      <c r="G83" s="933">
        <f t="shared" ref="G83:G92" si="39">E83+F83</f>
        <v>55181</v>
      </c>
      <c r="H83" s="933">
        <f t="shared" ref="H83:N93" si="40">H109+H122+H135+H161+H96+H148</f>
        <v>1616</v>
      </c>
      <c r="I83" s="933">
        <f t="shared" si="40"/>
        <v>56797</v>
      </c>
      <c r="J83" s="933">
        <f>J96+J109+J122+J135+J148+J161</f>
        <v>844</v>
      </c>
      <c r="K83" s="933">
        <f>I83+J83</f>
        <v>57641</v>
      </c>
      <c r="L83" s="933">
        <f t="shared" si="38"/>
        <v>2098</v>
      </c>
      <c r="M83" s="933">
        <f>K83+L83</f>
        <v>59739</v>
      </c>
      <c r="N83" s="933">
        <f>N109+N12+N135+N161+N96+N148</f>
        <v>49553</v>
      </c>
      <c r="O83" s="933">
        <f>O96+O109+O122+O135+O148+O161</f>
        <v>533</v>
      </c>
      <c r="P83" s="939">
        <v>0</v>
      </c>
      <c r="Q83" s="951"/>
      <c r="R83" s="952"/>
      <c r="S83" s="937">
        <f>N83+O83+P83</f>
        <v>50086</v>
      </c>
      <c r="AA83" s="524"/>
    </row>
    <row r="84" spans="1:27" s="495" customFormat="1" ht="16.899999999999999" customHeight="1" x14ac:dyDescent="0.2">
      <c r="A84" s="1611"/>
      <c r="B84" s="528" t="s">
        <v>133</v>
      </c>
      <c r="C84" s="933">
        <f t="shared" si="37"/>
        <v>291040</v>
      </c>
      <c r="D84" s="933">
        <f t="shared" si="37"/>
        <v>-175</v>
      </c>
      <c r="E84" s="933">
        <f>C84+D84</f>
        <v>290865</v>
      </c>
      <c r="F84" s="933">
        <f>F97+F110+F123+F136+F149+F162</f>
        <v>1995</v>
      </c>
      <c r="G84" s="933">
        <f t="shared" si="39"/>
        <v>292860</v>
      </c>
      <c r="H84" s="933">
        <f t="shared" si="40"/>
        <v>1200</v>
      </c>
      <c r="I84" s="933">
        <f t="shared" si="40"/>
        <v>294060</v>
      </c>
      <c r="J84" s="933">
        <f>J97+J110+J123+J136+J149+J162</f>
        <v>3000</v>
      </c>
      <c r="K84" s="933">
        <f>I84+J84</f>
        <v>297060</v>
      </c>
      <c r="L84" s="933">
        <f t="shared" si="38"/>
        <v>12528</v>
      </c>
      <c r="M84" s="933">
        <f>K84+L84</f>
        <v>309588</v>
      </c>
      <c r="N84" s="933">
        <f>N110+N123+N136+N162+N97+N149</f>
        <v>302910</v>
      </c>
      <c r="O84" s="933">
        <f>O97+O110+O123+O136+O149+O162</f>
        <v>6678</v>
      </c>
      <c r="P84" s="939">
        <v>0</v>
      </c>
      <c r="Q84" s="951"/>
      <c r="R84" s="952"/>
      <c r="S84" s="937">
        <f t="shared" si="31"/>
        <v>309588</v>
      </c>
      <c r="AA84" s="524"/>
    </row>
    <row r="85" spans="1:27" s="495" customFormat="1" ht="16.899999999999999" customHeight="1" x14ac:dyDescent="0.2">
      <c r="A85" s="1611"/>
      <c r="B85" s="528" t="s">
        <v>43</v>
      </c>
      <c r="C85" s="933">
        <f t="shared" si="37"/>
        <v>0</v>
      </c>
      <c r="D85" s="933">
        <f t="shared" si="37"/>
        <v>0</v>
      </c>
      <c r="E85" s="933">
        <f>C85+D85</f>
        <v>0</v>
      </c>
      <c r="F85" s="933"/>
      <c r="G85" s="933">
        <f t="shared" si="39"/>
        <v>0</v>
      </c>
      <c r="H85" s="933">
        <f t="shared" si="40"/>
        <v>0</v>
      </c>
      <c r="I85" s="933">
        <f t="shared" si="40"/>
        <v>0</v>
      </c>
      <c r="J85" s="933">
        <f>J98+J111+J124+J137+J150+J163</f>
        <v>0</v>
      </c>
      <c r="K85" s="933">
        <f>I85+J85</f>
        <v>0</v>
      </c>
      <c r="L85" s="933">
        <f t="shared" si="38"/>
        <v>0</v>
      </c>
      <c r="M85" s="933">
        <f>K85+L85</f>
        <v>0</v>
      </c>
      <c r="N85" s="933">
        <f t="shared" si="40"/>
        <v>0</v>
      </c>
      <c r="O85" s="933">
        <f>O98+O111+O124+O137+O150+O163</f>
        <v>0</v>
      </c>
      <c r="P85" s="939">
        <v>0</v>
      </c>
      <c r="Q85" s="951"/>
      <c r="R85" s="952"/>
      <c r="S85" s="937">
        <f t="shared" si="31"/>
        <v>0</v>
      </c>
      <c r="AA85" s="524"/>
    </row>
    <row r="86" spans="1:27" s="495" customFormat="1" ht="16.899999999999999" customHeight="1" x14ac:dyDescent="0.2">
      <c r="A86" s="1611"/>
      <c r="B86" s="528" t="s">
        <v>368</v>
      </c>
      <c r="C86" s="933">
        <f t="shared" si="37"/>
        <v>19000</v>
      </c>
      <c r="D86" s="933">
        <v>-19000</v>
      </c>
      <c r="E86" s="933">
        <f>C86+D86</f>
        <v>0</v>
      </c>
      <c r="F86" s="933"/>
      <c r="G86" s="933">
        <f t="shared" si="39"/>
        <v>0</v>
      </c>
      <c r="H86" s="933">
        <f t="shared" si="40"/>
        <v>0</v>
      </c>
      <c r="I86" s="933">
        <f t="shared" si="40"/>
        <v>0</v>
      </c>
      <c r="J86" s="933">
        <f>J99+J112+J125+J138+J151+J164</f>
        <v>0</v>
      </c>
      <c r="K86" s="933">
        <f>I86+J86</f>
        <v>0</v>
      </c>
      <c r="L86" s="933">
        <f t="shared" si="38"/>
        <v>0</v>
      </c>
      <c r="M86" s="933">
        <f>K86+L86</f>
        <v>0</v>
      </c>
      <c r="N86" s="933">
        <f t="shared" si="40"/>
        <v>0</v>
      </c>
      <c r="O86" s="933">
        <f>O99+O112+O125+O138+O151+O164</f>
        <v>0</v>
      </c>
      <c r="P86" s="939">
        <v>0</v>
      </c>
      <c r="Q86" s="951"/>
      <c r="R86" s="952"/>
      <c r="S86" s="937">
        <f t="shared" si="31"/>
        <v>0</v>
      </c>
      <c r="AA86" s="524"/>
    </row>
    <row r="87" spans="1:27" s="496" customFormat="1" ht="16.899999999999999" customHeight="1" x14ac:dyDescent="0.2">
      <c r="A87" s="1611"/>
      <c r="B87" s="529" t="s">
        <v>369</v>
      </c>
      <c r="C87" s="958">
        <f>SUM(C82:C86)</f>
        <v>533761</v>
      </c>
      <c r="D87" s="940">
        <f>SUM(D82:D86)</f>
        <v>-7572</v>
      </c>
      <c r="E87" s="940">
        <f>SUM(E82:E86)</f>
        <v>526189</v>
      </c>
      <c r="F87" s="940">
        <f>SUM(F82:F86)</f>
        <v>13404</v>
      </c>
      <c r="G87" s="940">
        <f>SUM(G82:G86)</f>
        <v>539593</v>
      </c>
      <c r="H87" s="958">
        <f t="shared" si="40"/>
        <v>13957</v>
      </c>
      <c r="I87" s="958">
        <f t="shared" si="40"/>
        <v>553550</v>
      </c>
      <c r="J87" s="958">
        <f>SUM(J82:J86)</f>
        <v>9727</v>
      </c>
      <c r="K87" s="958">
        <f>SUM(K82:K86)</f>
        <v>563277</v>
      </c>
      <c r="L87" s="958">
        <f t="shared" si="38"/>
        <v>29805</v>
      </c>
      <c r="M87" s="958">
        <f>SUM(M82:M86)</f>
        <v>593082</v>
      </c>
      <c r="N87" s="958">
        <f t="shared" si="40"/>
        <v>584055</v>
      </c>
      <c r="O87" s="958">
        <f>SUM(O82:O86)</f>
        <v>9027</v>
      </c>
      <c r="P87" s="941">
        <f>SUM(P82:P86)</f>
        <v>0</v>
      </c>
      <c r="Q87" s="953"/>
      <c r="R87" s="954"/>
      <c r="S87" s="937">
        <f t="shared" si="31"/>
        <v>593082</v>
      </c>
      <c r="AA87" s="524"/>
    </row>
    <row r="88" spans="1:27" s="495" customFormat="1" ht="16.899999999999999" customHeight="1" x14ac:dyDescent="0.2">
      <c r="A88" s="1611"/>
      <c r="B88" s="528" t="s">
        <v>370</v>
      </c>
      <c r="C88" s="933">
        <f t="shared" ref="C88:D92" si="41">C101+C114+C127+C140+C153+C166</f>
        <v>0</v>
      </c>
      <c r="D88" s="933">
        <f t="shared" si="41"/>
        <v>22811</v>
      </c>
      <c r="E88" s="938">
        <f>C88+D88</f>
        <v>22811</v>
      </c>
      <c r="F88" s="933">
        <f>F153+F101+F114+F127+F140</f>
        <v>236</v>
      </c>
      <c r="G88" s="933">
        <f t="shared" si="39"/>
        <v>23047</v>
      </c>
      <c r="H88" s="933">
        <f t="shared" si="40"/>
        <v>226</v>
      </c>
      <c r="I88" s="933">
        <f t="shared" si="40"/>
        <v>23273</v>
      </c>
      <c r="J88" s="933"/>
      <c r="K88" s="933">
        <f>I88+J88</f>
        <v>23273</v>
      </c>
      <c r="L88" s="933">
        <f t="shared" si="38"/>
        <v>-5016</v>
      </c>
      <c r="M88" s="933">
        <f>K88+L88</f>
        <v>18257</v>
      </c>
      <c r="N88" s="933">
        <f t="shared" si="40"/>
        <v>17910</v>
      </c>
      <c r="O88" s="933">
        <f>O101+O114+O127+O140+O153+O166</f>
        <v>347</v>
      </c>
      <c r="P88" s="939">
        <v>0</v>
      </c>
      <c r="Q88" s="951"/>
      <c r="R88" s="952"/>
      <c r="S88" s="937">
        <f t="shared" si="31"/>
        <v>18257</v>
      </c>
      <c r="AA88" s="524"/>
    </row>
    <row r="89" spans="1:27" s="495" customFormat="1" ht="16.899999999999999" customHeight="1" x14ac:dyDescent="0.2">
      <c r="A89" s="1611"/>
      <c r="B89" s="528" t="s">
        <v>55</v>
      </c>
      <c r="C89" s="933">
        <f t="shared" si="41"/>
        <v>0</v>
      </c>
      <c r="D89" s="933">
        <f t="shared" si="41"/>
        <v>12425</v>
      </c>
      <c r="E89" s="938">
        <f>C89+D89</f>
        <v>12425</v>
      </c>
      <c r="F89" s="933">
        <f>F102+F115+F141+F154+F167</f>
        <v>-216</v>
      </c>
      <c r="G89" s="933">
        <f t="shared" si="39"/>
        <v>12209</v>
      </c>
      <c r="H89" s="933">
        <f t="shared" si="40"/>
        <v>-126</v>
      </c>
      <c r="I89" s="933">
        <f t="shared" si="40"/>
        <v>12083</v>
      </c>
      <c r="J89" s="933"/>
      <c r="K89" s="933">
        <f>I89+J89</f>
        <v>12083</v>
      </c>
      <c r="L89" s="933">
        <f t="shared" si="38"/>
        <v>-428</v>
      </c>
      <c r="M89" s="933">
        <f>K89+L89</f>
        <v>11655</v>
      </c>
      <c r="N89" s="933">
        <f t="shared" si="40"/>
        <v>7855</v>
      </c>
      <c r="O89" s="933">
        <f>O102+O115+O128+O141+O154+O167</f>
        <v>3800</v>
      </c>
      <c r="P89" s="939">
        <v>0</v>
      </c>
      <c r="Q89" s="951"/>
      <c r="R89" s="952"/>
      <c r="S89" s="937">
        <f t="shared" si="31"/>
        <v>11655</v>
      </c>
      <c r="AA89" s="524"/>
    </row>
    <row r="90" spans="1:27" s="495" customFormat="1" ht="16.899999999999999" customHeight="1" x14ac:dyDescent="0.2">
      <c r="A90" s="1611"/>
      <c r="B90" s="528" t="s">
        <v>371</v>
      </c>
      <c r="C90" s="933">
        <f t="shared" si="41"/>
        <v>0</v>
      </c>
      <c r="D90" s="933">
        <f t="shared" si="41"/>
        <v>0</v>
      </c>
      <c r="E90" s="938">
        <f>C90+D90</f>
        <v>0</v>
      </c>
      <c r="F90" s="933"/>
      <c r="G90" s="933">
        <f t="shared" si="39"/>
        <v>0</v>
      </c>
      <c r="H90" s="933">
        <f t="shared" si="40"/>
        <v>0</v>
      </c>
      <c r="I90" s="933">
        <f t="shared" si="40"/>
        <v>0</v>
      </c>
      <c r="J90" s="933"/>
      <c r="K90" s="933">
        <f>I90+J90</f>
        <v>0</v>
      </c>
      <c r="L90" s="933">
        <f t="shared" si="38"/>
        <v>0</v>
      </c>
      <c r="M90" s="933">
        <f>K90+L90</f>
        <v>0</v>
      </c>
      <c r="N90" s="933">
        <f t="shared" si="40"/>
        <v>0</v>
      </c>
      <c r="O90" s="933">
        <f>O103+O116+O129+O142+O155+O168</f>
        <v>0</v>
      </c>
      <c r="P90" s="939">
        <v>0</v>
      </c>
      <c r="Q90" s="951"/>
      <c r="R90" s="952"/>
      <c r="S90" s="937">
        <f t="shared" si="31"/>
        <v>0</v>
      </c>
      <c r="AA90" s="524"/>
    </row>
    <row r="91" spans="1:27" s="496" customFormat="1" ht="16.899999999999999" customHeight="1" x14ac:dyDescent="0.2">
      <c r="A91" s="1611"/>
      <c r="B91" s="529" t="s">
        <v>372</v>
      </c>
      <c r="C91" s="958">
        <f>SUM(C88:C90)</f>
        <v>0</v>
      </c>
      <c r="D91" s="958">
        <f>SUM(D88:D90)</f>
        <v>35236</v>
      </c>
      <c r="E91" s="940">
        <f>SUM(E88:E90)</f>
        <v>35236</v>
      </c>
      <c r="F91" s="940">
        <f>SUM(F88:F90)</f>
        <v>20</v>
      </c>
      <c r="G91" s="940">
        <f>SUM(G88:G90)</f>
        <v>35256</v>
      </c>
      <c r="H91" s="958">
        <f t="shared" si="40"/>
        <v>100</v>
      </c>
      <c r="I91" s="958">
        <f t="shared" si="40"/>
        <v>35356</v>
      </c>
      <c r="J91" s="958">
        <f>SUM(J88:J90)</f>
        <v>0</v>
      </c>
      <c r="K91" s="958">
        <f>SUM(K88:K90)</f>
        <v>35356</v>
      </c>
      <c r="L91" s="958">
        <f t="shared" si="38"/>
        <v>-5444</v>
      </c>
      <c r="M91" s="958">
        <f>SUM(M88:M90)</f>
        <v>29912</v>
      </c>
      <c r="N91" s="958">
        <f t="shared" si="40"/>
        <v>25765</v>
      </c>
      <c r="O91" s="958">
        <f>O104+O117+O130+O143+O156+O169</f>
        <v>4147</v>
      </c>
      <c r="P91" s="941">
        <f>SUM(P88:P90)</f>
        <v>0</v>
      </c>
      <c r="Q91" s="953"/>
      <c r="R91" s="954"/>
      <c r="S91" s="937">
        <f t="shared" si="31"/>
        <v>29912</v>
      </c>
      <c r="AA91" s="524"/>
    </row>
    <row r="92" spans="1:27" s="495" customFormat="1" ht="16.899999999999999" customHeight="1" thickBot="1" x14ac:dyDescent="0.25">
      <c r="A92" s="1611"/>
      <c r="B92" s="695" t="s">
        <v>139</v>
      </c>
      <c r="C92" s="1418">
        <f t="shared" si="41"/>
        <v>0</v>
      </c>
      <c r="D92" s="1418">
        <f t="shared" si="41"/>
        <v>0</v>
      </c>
      <c r="E92" s="944">
        <f>C92+D92</f>
        <v>0</v>
      </c>
      <c r="F92" s="944"/>
      <c r="G92" s="1418">
        <f t="shared" si="39"/>
        <v>0</v>
      </c>
      <c r="H92" s="1418">
        <f t="shared" si="40"/>
        <v>0</v>
      </c>
      <c r="I92" s="1418">
        <f t="shared" si="40"/>
        <v>0</v>
      </c>
      <c r="J92" s="1418"/>
      <c r="K92" s="1418">
        <f>I92+J92</f>
        <v>0</v>
      </c>
      <c r="L92" s="933">
        <f t="shared" si="38"/>
        <v>0</v>
      </c>
      <c r="M92" s="1418">
        <f>K92+L92</f>
        <v>0</v>
      </c>
      <c r="N92" s="1418">
        <f t="shared" si="40"/>
        <v>0</v>
      </c>
      <c r="O92" s="1418">
        <f>O105+O118+O131+O144+O157+O170</f>
        <v>0</v>
      </c>
      <c r="P92" s="946"/>
      <c r="Q92" s="951"/>
      <c r="R92" s="952"/>
      <c r="S92" s="937">
        <f t="shared" si="31"/>
        <v>0</v>
      </c>
      <c r="AA92" s="524"/>
    </row>
    <row r="93" spans="1:27" s="496" customFormat="1" ht="16.899999999999999" customHeight="1" thickBot="1" x14ac:dyDescent="0.25">
      <c r="A93" s="1612"/>
      <c r="B93" s="1421" t="s">
        <v>134</v>
      </c>
      <c r="C93" s="947">
        <f>C87+C91+C92</f>
        <v>533761</v>
      </c>
      <c r="D93" s="947">
        <f>D87+D91+D92</f>
        <v>27664</v>
      </c>
      <c r="E93" s="947">
        <f>E87+E91+E92</f>
        <v>561425</v>
      </c>
      <c r="F93" s="947">
        <f>F87+F91+F92</f>
        <v>13424</v>
      </c>
      <c r="G93" s="947">
        <f>G87+G91+G92</f>
        <v>574849</v>
      </c>
      <c r="H93" s="947">
        <f t="shared" si="40"/>
        <v>14057</v>
      </c>
      <c r="I93" s="947">
        <f t="shared" si="40"/>
        <v>588906</v>
      </c>
      <c r="J93" s="947">
        <f>J87+J91+J92</f>
        <v>9727</v>
      </c>
      <c r="K93" s="947">
        <f>K87+K91+K92</f>
        <v>598633</v>
      </c>
      <c r="L93" s="947">
        <f>L87+L91+L92</f>
        <v>24361</v>
      </c>
      <c r="M93" s="947">
        <f>M87+M91+M92</f>
        <v>622994</v>
      </c>
      <c r="N93" s="947">
        <f>N119+N132+N145+N171+N106+N158</f>
        <v>609820</v>
      </c>
      <c r="O93" s="947">
        <f>O87+O91+O92</f>
        <v>13174</v>
      </c>
      <c r="P93" s="948">
        <f>P87+P91+P92</f>
        <v>0</v>
      </c>
      <c r="Q93" s="953"/>
      <c r="R93" s="954"/>
      <c r="S93" s="937">
        <f t="shared" si="31"/>
        <v>622994</v>
      </c>
      <c r="AA93" s="524"/>
    </row>
    <row r="94" spans="1:27" s="525" customFormat="1" ht="22.9" customHeight="1" thickBot="1" x14ac:dyDescent="0.25">
      <c r="A94" s="627"/>
      <c r="B94" s="1641" t="s">
        <v>7</v>
      </c>
      <c r="C94" s="1615"/>
      <c r="D94" s="1615"/>
      <c r="E94" s="1615"/>
      <c r="F94" s="1615"/>
      <c r="G94" s="1615"/>
      <c r="H94" s="1615"/>
      <c r="I94" s="1615"/>
      <c r="J94" s="1615"/>
      <c r="K94" s="1615"/>
      <c r="L94" s="1615"/>
      <c r="M94" s="1615"/>
      <c r="N94" s="1615"/>
      <c r="O94" s="1615"/>
      <c r="P94" s="1616"/>
      <c r="Q94" s="702"/>
      <c r="R94" s="703"/>
      <c r="S94" s="694"/>
      <c r="AA94" s="526"/>
    </row>
    <row r="95" spans="1:27" s="495" customFormat="1" ht="16.899999999999999" customHeight="1" x14ac:dyDescent="0.2">
      <c r="A95" s="1610" t="s">
        <v>99</v>
      </c>
      <c r="B95" s="527" t="s">
        <v>41</v>
      </c>
      <c r="C95" s="933">
        <v>60892</v>
      </c>
      <c r="D95" s="933">
        <v>930</v>
      </c>
      <c r="E95" s="933">
        <f>C95+D95</f>
        <v>61822</v>
      </c>
      <c r="F95" s="933">
        <v>585</v>
      </c>
      <c r="G95" s="933">
        <f>E95+F95</f>
        <v>62407</v>
      </c>
      <c r="H95" s="933">
        <v>390</v>
      </c>
      <c r="I95" s="933">
        <f t="shared" ref="I95:I106" si="42">G95+H95</f>
        <v>62797</v>
      </c>
      <c r="J95" s="933">
        <v>193</v>
      </c>
      <c r="K95" s="933">
        <f>I95+J95</f>
        <v>62990</v>
      </c>
      <c r="L95" s="933">
        <v>200</v>
      </c>
      <c r="M95" s="933">
        <f>K95+L95</f>
        <v>63190</v>
      </c>
      <c r="N95" s="933">
        <v>63190</v>
      </c>
      <c r="O95" s="933">
        <v>0</v>
      </c>
      <c r="P95" s="934">
        <v>0</v>
      </c>
      <c r="Q95" s="951"/>
      <c r="R95" s="952"/>
      <c r="S95" s="937">
        <f t="shared" si="31"/>
        <v>63190</v>
      </c>
      <c r="T95" s="956"/>
      <c r="AA95" s="524"/>
    </row>
    <row r="96" spans="1:27" s="495" customFormat="1" ht="30.95" customHeight="1" x14ac:dyDescent="0.2">
      <c r="A96" s="1611"/>
      <c r="B96" s="528" t="s">
        <v>309</v>
      </c>
      <c r="C96" s="938">
        <v>21535</v>
      </c>
      <c r="D96" s="933">
        <v>248</v>
      </c>
      <c r="E96" s="933">
        <f>C96+D96</f>
        <v>21783</v>
      </c>
      <c r="F96" s="933">
        <v>159</v>
      </c>
      <c r="G96" s="933">
        <f t="shared" ref="G96:G105" si="43">E96+F96</f>
        <v>21942</v>
      </c>
      <c r="H96" s="933">
        <v>105</v>
      </c>
      <c r="I96" s="933">
        <f t="shared" si="42"/>
        <v>22047</v>
      </c>
      <c r="J96" s="933">
        <v>52</v>
      </c>
      <c r="K96" s="933">
        <f>I96+J96</f>
        <v>22099</v>
      </c>
      <c r="L96" s="933">
        <v>54</v>
      </c>
      <c r="M96" s="933">
        <f>K96+L96</f>
        <v>22153</v>
      </c>
      <c r="N96" s="933">
        <v>22153</v>
      </c>
      <c r="O96" s="938">
        <v>0</v>
      </c>
      <c r="P96" s="939">
        <v>0</v>
      </c>
      <c r="Q96" s="951"/>
      <c r="R96" s="952"/>
      <c r="S96" s="937">
        <f t="shared" si="31"/>
        <v>22153</v>
      </c>
      <c r="T96" s="956"/>
      <c r="AA96" s="524"/>
    </row>
    <row r="97" spans="1:27" s="495" customFormat="1" ht="16.899999999999999" customHeight="1" x14ac:dyDescent="0.2">
      <c r="A97" s="1611"/>
      <c r="B97" s="528" t="s">
        <v>133</v>
      </c>
      <c r="C97" s="938">
        <v>19200</v>
      </c>
      <c r="D97" s="933">
        <f>270-366</f>
        <v>-96</v>
      </c>
      <c r="E97" s="933">
        <f>C97+D97</f>
        <v>19104</v>
      </c>
      <c r="F97" s="933">
        <f>2000+15</f>
        <v>2015</v>
      </c>
      <c r="G97" s="933">
        <f t="shared" si="43"/>
        <v>21119</v>
      </c>
      <c r="H97" s="933">
        <v>1300</v>
      </c>
      <c r="I97" s="933">
        <f t="shared" si="42"/>
        <v>22419</v>
      </c>
      <c r="J97" s="933">
        <v>3000</v>
      </c>
      <c r="K97" s="933">
        <f>I97+J97</f>
        <v>25419</v>
      </c>
      <c r="L97" s="933">
        <f>350+910+450</f>
        <v>1710</v>
      </c>
      <c r="M97" s="933">
        <f>K97+L97</f>
        <v>27129</v>
      </c>
      <c r="N97" s="933">
        <v>27129</v>
      </c>
      <c r="O97" s="938">
        <v>0</v>
      </c>
      <c r="P97" s="939">
        <v>0</v>
      </c>
      <c r="Q97" s="951"/>
      <c r="R97" s="952"/>
      <c r="S97" s="937">
        <f t="shared" si="31"/>
        <v>27129</v>
      </c>
      <c r="T97" s="956"/>
      <c r="AA97" s="524"/>
    </row>
    <row r="98" spans="1:27" s="495" customFormat="1" ht="16.899999999999999" customHeight="1" x14ac:dyDescent="0.2">
      <c r="A98" s="1611"/>
      <c r="B98" s="528" t="s">
        <v>43</v>
      </c>
      <c r="C98" s="938">
        <v>0</v>
      </c>
      <c r="D98" s="933"/>
      <c r="E98" s="933">
        <f>C98+D98</f>
        <v>0</v>
      </c>
      <c r="F98" s="933"/>
      <c r="G98" s="933">
        <f t="shared" si="43"/>
        <v>0</v>
      </c>
      <c r="H98" s="933"/>
      <c r="I98" s="933">
        <f t="shared" si="42"/>
        <v>0</v>
      </c>
      <c r="J98" s="933"/>
      <c r="K98" s="933">
        <f>I98+J98</f>
        <v>0</v>
      </c>
      <c r="L98" s="933"/>
      <c r="M98" s="933">
        <f>K98+L98</f>
        <v>0</v>
      </c>
      <c r="N98" s="933">
        <f t="shared" ref="N98:N99" si="44">K98</f>
        <v>0</v>
      </c>
      <c r="O98" s="938">
        <v>0</v>
      </c>
      <c r="P98" s="939">
        <v>0</v>
      </c>
      <c r="Q98" s="951"/>
      <c r="R98" s="952"/>
      <c r="S98" s="937">
        <f t="shared" si="31"/>
        <v>0</v>
      </c>
      <c r="T98" s="956"/>
      <c r="AA98" s="524"/>
    </row>
    <row r="99" spans="1:27" s="495" customFormat="1" ht="16.899999999999999" customHeight="1" x14ac:dyDescent="0.2">
      <c r="A99" s="1611"/>
      <c r="B99" s="528" t="s">
        <v>368</v>
      </c>
      <c r="C99" s="938">
        <v>19000</v>
      </c>
      <c r="D99" s="933">
        <v>-19000</v>
      </c>
      <c r="E99" s="933">
        <f>C99+D99</f>
        <v>0</v>
      </c>
      <c r="F99" s="933"/>
      <c r="G99" s="933">
        <f t="shared" si="43"/>
        <v>0</v>
      </c>
      <c r="H99" s="933"/>
      <c r="I99" s="933">
        <f t="shared" si="42"/>
        <v>0</v>
      </c>
      <c r="J99" s="933"/>
      <c r="K99" s="933">
        <f>I99+J99</f>
        <v>0</v>
      </c>
      <c r="L99" s="933"/>
      <c r="M99" s="933">
        <f>K99+L99</f>
        <v>0</v>
      </c>
      <c r="N99" s="933">
        <f t="shared" si="44"/>
        <v>0</v>
      </c>
      <c r="O99" s="938">
        <v>0</v>
      </c>
      <c r="P99" s="939">
        <v>0</v>
      </c>
      <c r="Q99" s="951"/>
      <c r="R99" s="952"/>
      <c r="S99" s="937">
        <f t="shared" si="31"/>
        <v>0</v>
      </c>
      <c r="T99" s="956"/>
      <c r="AA99" s="524"/>
    </row>
    <row r="100" spans="1:27" s="496" customFormat="1" ht="16.899999999999999" customHeight="1" x14ac:dyDescent="0.2">
      <c r="A100" s="1611"/>
      <c r="B100" s="529" t="s">
        <v>369</v>
      </c>
      <c r="C100" s="940">
        <f t="shared" ref="C100:H100" si="45">SUM(C95:C99)</f>
        <v>120627</v>
      </c>
      <c r="D100" s="940">
        <f t="shared" si="45"/>
        <v>-17918</v>
      </c>
      <c r="E100" s="940">
        <f t="shared" si="45"/>
        <v>102709</v>
      </c>
      <c r="F100" s="940">
        <f t="shared" si="45"/>
        <v>2759</v>
      </c>
      <c r="G100" s="940">
        <f t="shared" si="45"/>
        <v>105468</v>
      </c>
      <c r="H100" s="940">
        <f t="shared" si="45"/>
        <v>1795</v>
      </c>
      <c r="I100" s="958">
        <f t="shared" si="42"/>
        <v>107263</v>
      </c>
      <c r="J100" s="958">
        <f>SUM(J95:J99)</f>
        <v>3245</v>
      </c>
      <c r="K100" s="958">
        <f>SUM(K95:K99)</f>
        <v>110508</v>
      </c>
      <c r="L100" s="958">
        <f>SUM(L95:L99)</f>
        <v>1964</v>
      </c>
      <c r="M100" s="958">
        <f>SUM(M95:M99)</f>
        <v>112472</v>
      </c>
      <c r="N100" s="958">
        <f>M100</f>
        <v>112472</v>
      </c>
      <c r="O100" s="940">
        <f>SUM(O95:O99)</f>
        <v>0</v>
      </c>
      <c r="P100" s="941">
        <f>SUM(P95:P99)</f>
        <v>0</v>
      </c>
      <c r="Q100" s="953"/>
      <c r="R100" s="954"/>
      <c r="S100" s="937">
        <f t="shared" si="31"/>
        <v>112472</v>
      </c>
      <c r="T100" s="957"/>
      <c r="AA100" s="524"/>
    </row>
    <row r="101" spans="1:27" s="495" customFormat="1" ht="16.899999999999999" customHeight="1" x14ac:dyDescent="0.2">
      <c r="A101" s="1611"/>
      <c r="B101" s="528" t="s">
        <v>370</v>
      </c>
      <c r="C101" s="938">
        <v>0</v>
      </c>
      <c r="D101" s="938">
        <f>1200+366</f>
        <v>1566</v>
      </c>
      <c r="E101" s="938">
        <f>C101+D101</f>
        <v>1566</v>
      </c>
      <c r="F101" s="933"/>
      <c r="G101" s="933">
        <f t="shared" si="43"/>
        <v>1566</v>
      </c>
      <c r="H101" s="933"/>
      <c r="I101" s="933">
        <f t="shared" si="42"/>
        <v>1566</v>
      </c>
      <c r="J101" s="933"/>
      <c r="K101" s="933">
        <f>I101+J101</f>
        <v>1566</v>
      </c>
      <c r="L101" s="933">
        <v>-910</v>
      </c>
      <c r="M101" s="933">
        <f>K101+L101</f>
        <v>656</v>
      </c>
      <c r="N101" s="933">
        <f>M101</f>
        <v>656</v>
      </c>
      <c r="O101" s="938">
        <v>0</v>
      </c>
      <c r="P101" s="939">
        <v>0</v>
      </c>
      <c r="Q101" s="951"/>
      <c r="R101" s="952"/>
      <c r="S101" s="937">
        <f t="shared" si="31"/>
        <v>656</v>
      </c>
      <c r="T101" s="956"/>
      <c r="AA101" s="524"/>
    </row>
    <row r="102" spans="1:27" s="495" customFormat="1" ht="16.899999999999999" customHeight="1" x14ac:dyDescent="0.2">
      <c r="A102" s="1611"/>
      <c r="B102" s="528" t="s">
        <v>55</v>
      </c>
      <c r="C102" s="938">
        <v>0</v>
      </c>
      <c r="D102" s="938"/>
      <c r="E102" s="938">
        <f>C102+D102</f>
        <v>0</v>
      </c>
      <c r="F102" s="933"/>
      <c r="G102" s="933">
        <f t="shared" si="43"/>
        <v>0</v>
      </c>
      <c r="H102" s="933"/>
      <c r="I102" s="933">
        <f t="shared" si="42"/>
        <v>0</v>
      </c>
      <c r="J102" s="933"/>
      <c r="K102" s="933">
        <f>I102+J102</f>
        <v>0</v>
      </c>
      <c r="L102" s="933"/>
      <c r="M102" s="933">
        <f>K102+L102</f>
        <v>0</v>
      </c>
      <c r="N102" s="933">
        <f t="shared" ref="N102:N105" si="46">M102</f>
        <v>0</v>
      </c>
      <c r="O102" s="938">
        <v>0</v>
      </c>
      <c r="P102" s="939">
        <v>0</v>
      </c>
      <c r="Q102" s="951"/>
      <c r="R102" s="952"/>
      <c r="S102" s="937">
        <f t="shared" si="31"/>
        <v>0</v>
      </c>
      <c r="T102" s="956"/>
      <c r="AA102" s="524"/>
    </row>
    <row r="103" spans="1:27" s="495" customFormat="1" ht="16.899999999999999" customHeight="1" x14ac:dyDescent="0.2">
      <c r="A103" s="1611"/>
      <c r="B103" s="528" t="s">
        <v>371</v>
      </c>
      <c r="C103" s="938">
        <v>0</v>
      </c>
      <c r="D103" s="938"/>
      <c r="E103" s="938">
        <f>C103+D103</f>
        <v>0</v>
      </c>
      <c r="F103" s="933"/>
      <c r="G103" s="933">
        <f t="shared" si="43"/>
        <v>0</v>
      </c>
      <c r="H103" s="933"/>
      <c r="I103" s="933">
        <f t="shared" si="42"/>
        <v>0</v>
      </c>
      <c r="J103" s="933"/>
      <c r="K103" s="933">
        <f>I103+J103</f>
        <v>0</v>
      </c>
      <c r="L103" s="933"/>
      <c r="M103" s="933">
        <f>K103+L103</f>
        <v>0</v>
      </c>
      <c r="N103" s="933">
        <f t="shared" si="46"/>
        <v>0</v>
      </c>
      <c r="O103" s="938">
        <v>0</v>
      </c>
      <c r="P103" s="939">
        <v>0</v>
      </c>
      <c r="Q103" s="951"/>
      <c r="R103" s="952"/>
      <c r="S103" s="937">
        <f t="shared" si="31"/>
        <v>0</v>
      </c>
      <c r="T103" s="956"/>
      <c r="AA103" s="524"/>
    </row>
    <row r="104" spans="1:27" s="496" customFormat="1" ht="16.899999999999999" customHeight="1" x14ac:dyDescent="0.2">
      <c r="A104" s="1611"/>
      <c r="B104" s="529" t="s">
        <v>372</v>
      </c>
      <c r="C104" s="940">
        <f t="shared" ref="C104:H104" si="47">SUM(C101:C103)</f>
        <v>0</v>
      </c>
      <c r="D104" s="940">
        <f t="shared" si="47"/>
        <v>1566</v>
      </c>
      <c r="E104" s="940">
        <f t="shared" si="47"/>
        <v>1566</v>
      </c>
      <c r="F104" s="940">
        <f t="shared" si="47"/>
        <v>0</v>
      </c>
      <c r="G104" s="940">
        <f t="shared" si="47"/>
        <v>1566</v>
      </c>
      <c r="H104" s="940">
        <f t="shared" si="47"/>
        <v>0</v>
      </c>
      <c r="I104" s="958">
        <f t="shared" si="42"/>
        <v>1566</v>
      </c>
      <c r="J104" s="958">
        <f>SUM(J101:J103)</f>
        <v>0</v>
      </c>
      <c r="K104" s="958">
        <f>SUM(K101:K103)</f>
        <v>1566</v>
      </c>
      <c r="L104" s="958">
        <f>SUM(L101:L103)</f>
        <v>-910</v>
      </c>
      <c r="M104" s="958">
        <f>SUM(M101:M103)</f>
        <v>656</v>
      </c>
      <c r="N104" s="933">
        <f t="shared" si="46"/>
        <v>656</v>
      </c>
      <c r="O104" s="940">
        <f>SUM(O101:O103)</f>
        <v>0</v>
      </c>
      <c r="P104" s="941">
        <f>SUM(P101:P103)</f>
        <v>0</v>
      </c>
      <c r="Q104" s="953"/>
      <c r="R104" s="954"/>
      <c r="S104" s="937">
        <f t="shared" si="31"/>
        <v>656</v>
      </c>
      <c r="T104" s="957"/>
      <c r="AA104" s="524"/>
    </row>
    <row r="105" spans="1:27" s="495" customFormat="1" ht="16.899999999999999" customHeight="1" thickBot="1" x14ac:dyDescent="0.25">
      <c r="A105" s="1611"/>
      <c r="B105" s="695" t="s">
        <v>139</v>
      </c>
      <c r="C105" s="944"/>
      <c r="D105" s="944"/>
      <c r="E105" s="944">
        <f>C105+D105</f>
        <v>0</v>
      </c>
      <c r="F105" s="944"/>
      <c r="G105" s="933">
        <f t="shared" si="43"/>
        <v>0</v>
      </c>
      <c r="H105" s="1418"/>
      <c r="I105" s="933">
        <f t="shared" si="42"/>
        <v>0</v>
      </c>
      <c r="J105" s="933"/>
      <c r="K105" s="933">
        <f>I105+J105</f>
        <v>0</v>
      </c>
      <c r="L105" s="933"/>
      <c r="M105" s="933">
        <f>K105+L105</f>
        <v>0</v>
      </c>
      <c r="N105" s="933">
        <f t="shared" si="46"/>
        <v>0</v>
      </c>
      <c r="O105" s="945"/>
      <c r="P105" s="946"/>
      <c r="Q105" s="951"/>
      <c r="R105" s="952"/>
      <c r="S105" s="937">
        <f t="shared" si="31"/>
        <v>0</v>
      </c>
      <c r="T105" s="956"/>
      <c r="AA105" s="524"/>
    </row>
    <row r="106" spans="1:27" s="496" customFormat="1" ht="16.899999999999999" customHeight="1" thickBot="1" x14ac:dyDescent="0.25">
      <c r="A106" s="1613"/>
      <c r="B106" s="696" t="s">
        <v>134</v>
      </c>
      <c r="C106" s="947">
        <f t="shared" ref="C106:P106" si="48">C100+C104+C105</f>
        <v>120627</v>
      </c>
      <c r="D106" s="947">
        <f t="shared" si="48"/>
        <v>-16352</v>
      </c>
      <c r="E106" s="947">
        <f t="shared" si="48"/>
        <v>104275</v>
      </c>
      <c r="F106" s="947">
        <f t="shared" si="48"/>
        <v>2759</v>
      </c>
      <c r="G106" s="947">
        <f t="shared" si="48"/>
        <v>107034</v>
      </c>
      <c r="H106" s="947">
        <f>H100+H104+H105</f>
        <v>1795</v>
      </c>
      <c r="I106" s="958">
        <f t="shared" si="42"/>
        <v>108829</v>
      </c>
      <c r="J106" s="958">
        <f>J100+J104+J105</f>
        <v>3245</v>
      </c>
      <c r="K106" s="958">
        <f>K105+K100+K104</f>
        <v>112074</v>
      </c>
      <c r="L106" s="958">
        <f>L100+L104+L105</f>
        <v>1054</v>
      </c>
      <c r="M106" s="958">
        <f>M105+M100+M104</f>
        <v>113128</v>
      </c>
      <c r="N106" s="958">
        <f>M106</f>
        <v>113128</v>
      </c>
      <c r="O106" s="947">
        <f t="shared" si="48"/>
        <v>0</v>
      </c>
      <c r="P106" s="948">
        <f t="shared" si="48"/>
        <v>0</v>
      </c>
      <c r="Q106" s="953"/>
      <c r="R106" s="954"/>
      <c r="S106" s="937">
        <f t="shared" si="31"/>
        <v>113128</v>
      </c>
      <c r="T106" s="957"/>
      <c r="AA106" s="524"/>
    </row>
    <row r="107" spans="1:27" s="525" customFormat="1" ht="22.9" customHeight="1" thickBot="1" x14ac:dyDescent="0.25">
      <c r="A107" s="627"/>
      <c r="B107" s="1641" t="s">
        <v>4</v>
      </c>
      <c r="C107" s="1615"/>
      <c r="D107" s="1615"/>
      <c r="E107" s="1615"/>
      <c r="F107" s="1615"/>
      <c r="G107" s="1615"/>
      <c r="H107" s="1615"/>
      <c r="I107" s="1615"/>
      <c r="J107" s="1615"/>
      <c r="K107" s="1615"/>
      <c r="L107" s="1615"/>
      <c r="M107" s="1615"/>
      <c r="N107" s="1615"/>
      <c r="O107" s="1615"/>
      <c r="P107" s="1616"/>
      <c r="Q107" s="702"/>
      <c r="R107" s="703"/>
      <c r="S107" s="694"/>
      <c r="AA107" s="526"/>
    </row>
    <row r="108" spans="1:27" s="495" customFormat="1" ht="16.899999999999999" customHeight="1" x14ac:dyDescent="0.2">
      <c r="A108" s="1610" t="s">
        <v>99</v>
      </c>
      <c r="B108" s="527" t="s">
        <v>41</v>
      </c>
      <c r="C108" s="933">
        <v>23180</v>
      </c>
      <c r="D108" s="933">
        <v>228</v>
      </c>
      <c r="E108" s="933">
        <f>C108+D108</f>
        <v>23408</v>
      </c>
      <c r="F108" s="933">
        <v>126</v>
      </c>
      <c r="G108" s="933">
        <f>E108+F108</f>
        <v>23534</v>
      </c>
      <c r="H108" s="933">
        <v>83</v>
      </c>
      <c r="I108" s="933">
        <f t="shared" ref="I108:I119" si="49">G108+H108</f>
        <v>23617</v>
      </c>
      <c r="J108" s="933">
        <v>41</v>
      </c>
      <c r="K108" s="933">
        <f>I108+J108</f>
        <v>23658</v>
      </c>
      <c r="L108" s="933">
        <f>42-320</f>
        <v>-278</v>
      </c>
      <c r="M108" s="933">
        <f>K108+L108</f>
        <v>23380</v>
      </c>
      <c r="N108" s="933">
        <f>M108</f>
        <v>23380</v>
      </c>
      <c r="O108" s="933">
        <v>0</v>
      </c>
      <c r="P108" s="934">
        <v>0</v>
      </c>
      <c r="Q108" s="951"/>
      <c r="R108" s="952"/>
      <c r="S108" s="937">
        <f t="shared" si="31"/>
        <v>23380</v>
      </c>
      <c r="T108" s="956"/>
      <c r="AA108" s="524"/>
    </row>
    <row r="109" spans="1:27" s="495" customFormat="1" ht="30.95" customHeight="1" x14ac:dyDescent="0.2">
      <c r="A109" s="1611"/>
      <c r="B109" s="528" t="s">
        <v>309</v>
      </c>
      <c r="C109" s="938">
        <v>6343</v>
      </c>
      <c r="D109" s="938">
        <v>62</v>
      </c>
      <c r="E109" s="933">
        <f>C109+D109</f>
        <v>6405</v>
      </c>
      <c r="F109" s="933">
        <v>34</v>
      </c>
      <c r="G109" s="933">
        <f t="shared" ref="G109:G118" si="50">E109+F109</f>
        <v>6439</v>
      </c>
      <c r="H109" s="933">
        <v>22</v>
      </c>
      <c r="I109" s="933">
        <f t="shared" si="49"/>
        <v>6461</v>
      </c>
      <c r="J109" s="933">
        <v>11</v>
      </c>
      <c r="K109" s="933">
        <f>I109+J109</f>
        <v>6472</v>
      </c>
      <c r="L109" s="933">
        <f>11-90</f>
        <v>-79</v>
      </c>
      <c r="M109" s="933">
        <f>K109+L109</f>
        <v>6393</v>
      </c>
      <c r="N109" s="933">
        <f t="shared" ref="N109:N118" si="51">M109</f>
        <v>6393</v>
      </c>
      <c r="O109" s="938">
        <v>0</v>
      </c>
      <c r="P109" s="939">
        <v>0</v>
      </c>
      <c r="Q109" s="951"/>
      <c r="R109" s="952"/>
      <c r="S109" s="937">
        <f t="shared" si="31"/>
        <v>6393</v>
      </c>
      <c r="T109" s="956"/>
      <c r="AA109" s="524"/>
    </row>
    <row r="110" spans="1:27" s="495" customFormat="1" ht="16.899999999999999" customHeight="1" x14ac:dyDescent="0.2">
      <c r="A110" s="1611"/>
      <c r="B110" s="528" t="s">
        <v>133</v>
      </c>
      <c r="C110" s="938">
        <v>58000</v>
      </c>
      <c r="D110" s="938">
        <v>-13</v>
      </c>
      <c r="E110" s="933">
        <f>C110+D110</f>
        <v>57987</v>
      </c>
      <c r="F110" s="933"/>
      <c r="G110" s="933">
        <f t="shared" si="50"/>
        <v>57987</v>
      </c>
      <c r="H110" s="933"/>
      <c r="I110" s="933">
        <f t="shared" si="49"/>
        <v>57987</v>
      </c>
      <c r="J110" s="933"/>
      <c r="K110" s="933">
        <f>I110+J110</f>
        <v>57987</v>
      </c>
      <c r="L110" s="933">
        <f>2000+2290</f>
        <v>4290</v>
      </c>
      <c r="M110" s="933">
        <f>K110+L110</f>
        <v>62277</v>
      </c>
      <c r="N110" s="933">
        <f t="shared" si="51"/>
        <v>62277</v>
      </c>
      <c r="O110" s="938">
        <v>0</v>
      </c>
      <c r="P110" s="939">
        <v>0</v>
      </c>
      <c r="Q110" s="951"/>
      <c r="R110" s="952"/>
      <c r="S110" s="937">
        <f t="shared" si="31"/>
        <v>62277</v>
      </c>
      <c r="T110" s="956"/>
      <c r="AA110" s="524"/>
    </row>
    <row r="111" spans="1:27" s="495" customFormat="1" ht="16.899999999999999" customHeight="1" x14ac:dyDescent="0.2">
      <c r="A111" s="1611"/>
      <c r="B111" s="528" t="s">
        <v>43</v>
      </c>
      <c r="C111" s="938">
        <v>0</v>
      </c>
      <c r="D111" s="938"/>
      <c r="E111" s="933">
        <f>C111+D111</f>
        <v>0</v>
      </c>
      <c r="F111" s="933"/>
      <c r="G111" s="933">
        <f t="shared" si="50"/>
        <v>0</v>
      </c>
      <c r="H111" s="933"/>
      <c r="I111" s="933">
        <f t="shared" si="49"/>
        <v>0</v>
      </c>
      <c r="J111" s="933"/>
      <c r="K111" s="933">
        <f>I111+J111</f>
        <v>0</v>
      </c>
      <c r="L111" s="933"/>
      <c r="M111" s="933">
        <f>K111+L111</f>
        <v>0</v>
      </c>
      <c r="N111" s="933">
        <f t="shared" si="51"/>
        <v>0</v>
      </c>
      <c r="O111" s="938">
        <v>0</v>
      </c>
      <c r="P111" s="939">
        <v>0</v>
      </c>
      <c r="Q111" s="951"/>
      <c r="R111" s="952"/>
      <c r="S111" s="937">
        <f t="shared" si="31"/>
        <v>0</v>
      </c>
      <c r="T111" s="956"/>
      <c r="AA111" s="524"/>
    </row>
    <row r="112" spans="1:27" s="495" customFormat="1" ht="16.899999999999999" customHeight="1" x14ac:dyDescent="0.2">
      <c r="A112" s="1611"/>
      <c r="B112" s="528" t="s">
        <v>368</v>
      </c>
      <c r="C112" s="938">
        <v>0</v>
      </c>
      <c r="D112" s="938"/>
      <c r="E112" s="933">
        <f>C112+D112</f>
        <v>0</v>
      </c>
      <c r="F112" s="933"/>
      <c r="G112" s="933">
        <f t="shared" si="50"/>
        <v>0</v>
      </c>
      <c r="H112" s="933"/>
      <c r="I112" s="933">
        <f t="shared" si="49"/>
        <v>0</v>
      </c>
      <c r="J112" s="933"/>
      <c r="K112" s="933">
        <f>I112+J112</f>
        <v>0</v>
      </c>
      <c r="L112" s="933"/>
      <c r="M112" s="933">
        <f>K112+L112</f>
        <v>0</v>
      </c>
      <c r="N112" s="933">
        <f t="shared" si="51"/>
        <v>0</v>
      </c>
      <c r="O112" s="938">
        <v>0</v>
      </c>
      <c r="P112" s="939">
        <v>0</v>
      </c>
      <c r="Q112" s="951"/>
      <c r="R112" s="952"/>
      <c r="S112" s="937">
        <f t="shared" si="31"/>
        <v>0</v>
      </c>
      <c r="T112" s="956"/>
      <c r="AA112" s="524"/>
    </row>
    <row r="113" spans="1:27" s="496" customFormat="1" ht="16.899999999999999" customHeight="1" x14ac:dyDescent="0.2">
      <c r="A113" s="1611"/>
      <c r="B113" s="529" t="s">
        <v>369</v>
      </c>
      <c r="C113" s="940">
        <f t="shared" ref="C113:H113" si="52">SUM(C108:C112)</f>
        <v>87523</v>
      </c>
      <c r="D113" s="940">
        <f t="shared" si="52"/>
        <v>277</v>
      </c>
      <c r="E113" s="940">
        <f t="shared" si="52"/>
        <v>87800</v>
      </c>
      <c r="F113" s="940">
        <f t="shared" si="52"/>
        <v>160</v>
      </c>
      <c r="G113" s="940">
        <f t="shared" si="52"/>
        <v>87960</v>
      </c>
      <c r="H113" s="940">
        <f t="shared" si="52"/>
        <v>105</v>
      </c>
      <c r="I113" s="958">
        <f t="shared" si="49"/>
        <v>88065</v>
      </c>
      <c r="J113" s="958">
        <f>SUM(J108:J112)</f>
        <v>52</v>
      </c>
      <c r="K113" s="958">
        <f>SUM(K108:K112)</f>
        <v>88117</v>
      </c>
      <c r="L113" s="958">
        <f>SUM(L108:L112)</f>
        <v>3933</v>
      </c>
      <c r="M113" s="958">
        <f>SUM(M108:M112)</f>
        <v>92050</v>
      </c>
      <c r="N113" s="933">
        <f t="shared" si="51"/>
        <v>92050</v>
      </c>
      <c r="O113" s="940">
        <f>SUM(O108:O112)</f>
        <v>0</v>
      </c>
      <c r="P113" s="941">
        <f>SUM(P108:P112)</f>
        <v>0</v>
      </c>
      <c r="Q113" s="953"/>
      <c r="R113" s="954"/>
      <c r="S113" s="937">
        <f t="shared" si="31"/>
        <v>92050</v>
      </c>
      <c r="T113" s="957"/>
      <c r="AA113" s="524"/>
    </row>
    <row r="114" spans="1:27" s="495" customFormat="1" ht="16.899999999999999" customHeight="1" x14ac:dyDescent="0.2">
      <c r="A114" s="1611"/>
      <c r="B114" s="528" t="s">
        <v>370</v>
      </c>
      <c r="C114" s="938">
        <v>0</v>
      </c>
      <c r="D114" s="938">
        <f>2400+13</f>
        <v>2413</v>
      </c>
      <c r="E114" s="938">
        <f>C114+D114</f>
        <v>2413</v>
      </c>
      <c r="F114" s="933"/>
      <c r="G114" s="933">
        <f t="shared" si="50"/>
        <v>2413</v>
      </c>
      <c r="H114" s="933"/>
      <c r="I114" s="933">
        <f t="shared" si="49"/>
        <v>2413</v>
      </c>
      <c r="J114" s="933"/>
      <c r="K114" s="933">
        <f>I114+J114</f>
        <v>2413</v>
      </c>
      <c r="L114" s="933">
        <v>-1880</v>
      </c>
      <c r="M114" s="933">
        <f>K114+L114</f>
        <v>533</v>
      </c>
      <c r="N114" s="933">
        <f t="shared" si="51"/>
        <v>533</v>
      </c>
      <c r="O114" s="938">
        <v>0</v>
      </c>
      <c r="P114" s="939">
        <v>0</v>
      </c>
      <c r="Q114" s="951"/>
      <c r="R114" s="952"/>
      <c r="S114" s="937">
        <f t="shared" si="31"/>
        <v>533</v>
      </c>
      <c r="T114" s="956"/>
      <c r="AA114" s="524"/>
    </row>
    <row r="115" spans="1:27" s="495" customFormat="1" ht="16.899999999999999" customHeight="1" x14ac:dyDescent="0.2">
      <c r="A115" s="1611"/>
      <c r="B115" s="528" t="s">
        <v>55</v>
      </c>
      <c r="C115" s="938">
        <v>0</v>
      </c>
      <c r="D115" s="938"/>
      <c r="E115" s="938">
        <f>C115+D115</f>
        <v>0</v>
      </c>
      <c r="F115" s="938"/>
      <c r="G115" s="933">
        <f t="shared" si="50"/>
        <v>0</v>
      </c>
      <c r="H115" s="933"/>
      <c r="I115" s="933">
        <f t="shared" si="49"/>
        <v>0</v>
      </c>
      <c r="J115" s="933"/>
      <c r="K115" s="933">
        <f>I115+J115</f>
        <v>0</v>
      </c>
      <c r="L115" s="933"/>
      <c r="M115" s="933">
        <f>K115+L115</f>
        <v>0</v>
      </c>
      <c r="N115" s="933">
        <f t="shared" si="51"/>
        <v>0</v>
      </c>
      <c r="O115" s="938">
        <v>0</v>
      </c>
      <c r="P115" s="939">
        <v>0</v>
      </c>
      <c r="Q115" s="951"/>
      <c r="R115" s="952"/>
      <c r="S115" s="937">
        <f t="shared" si="31"/>
        <v>0</v>
      </c>
      <c r="T115" s="956"/>
      <c r="AA115" s="524"/>
    </row>
    <row r="116" spans="1:27" s="495" customFormat="1" ht="16.899999999999999" customHeight="1" x14ac:dyDescent="0.2">
      <c r="A116" s="1611"/>
      <c r="B116" s="528" t="s">
        <v>371</v>
      </c>
      <c r="C116" s="938">
        <v>0</v>
      </c>
      <c r="D116" s="938"/>
      <c r="E116" s="938">
        <f>C116+D116</f>
        <v>0</v>
      </c>
      <c r="F116" s="938"/>
      <c r="G116" s="933">
        <f t="shared" si="50"/>
        <v>0</v>
      </c>
      <c r="H116" s="933"/>
      <c r="I116" s="933">
        <f t="shared" si="49"/>
        <v>0</v>
      </c>
      <c r="J116" s="933"/>
      <c r="K116" s="933">
        <f>I116+J116</f>
        <v>0</v>
      </c>
      <c r="L116" s="933"/>
      <c r="M116" s="933">
        <f>K116+L116</f>
        <v>0</v>
      </c>
      <c r="N116" s="933">
        <f t="shared" si="51"/>
        <v>0</v>
      </c>
      <c r="O116" s="938">
        <v>0</v>
      </c>
      <c r="P116" s="939">
        <v>0</v>
      </c>
      <c r="Q116" s="951"/>
      <c r="R116" s="952"/>
      <c r="S116" s="937">
        <f t="shared" si="31"/>
        <v>0</v>
      </c>
      <c r="T116" s="956"/>
      <c r="AA116" s="524"/>
    </row>
    <row r="117" spans="1:27" s="496" customFormat="1" ht="16.899999999999999" customHeight="1" x14ac:dyDescent="0.2">
      <c r="A117" s="1611"/>
      <c r="B117" s="529" t="s">
        <v>372</v>
      </c>
      <c r="C117" s="940">
        <f t="shared" ref="C117:P117" si="53">SUM(C114:C116)</f>
        <v>0</v>
      </c>
      <c r="D117" s="940">
        <f t="shared" si="53"/>
        <v>2413</v>
      </c>
      <c r="E117" s="940">
        <f t="shared" si="53"/>
        <v>2413</v>
      </c>
      <c r="F117" s="940">
        <f t="shared" si="53"/>
        <v>0</v>
      </c>
      <c r="G117" s="940">
        <f t="shared" si="53"/>
        <v>2413</v>
      </c>
      <c r="H117" s="940">
        <f>SUM(H114:H116)</f>
        <v>0</v>
      </c>
      <c r="I117" s="958">
        <f t="shared" si="49"/>
        <v>2413</v>
      </c>
      <c r="J117" s="958">
        <f>SUM(J114:J116)</f>
        <v>0</v>
      </c>
      <c r="K117" s="958">
        <f>SUM(K114:K116)</f>
        <v>2413</v>
      </c>
      <c r="L117" s="958">
        <f>SUM(L114:L116)</f>
        <v>-1880</v>
      </c>
      <c r="M117" s="958">
        <f>SUM(M114:M116)</f>
        <v>533</v>
      </c>
      <c r="N117" s="958">
        <f t="shared" si="51"/>
        <v>533</v>
      </c>
      <c r="O117" s="940">
        <f t="shared" si="53"/>
        <v>0</v>
      </c>
      <c r="P117" s="941">
        <f t="shared" si="53"/>
        <v>0</v>
      </c>
      <c r="Q117" s="953"/>
      <c r="R117" s="954"/>
      <c r="S117" s="937">
        <f t="shared" si="31"/>
        <v>533</v>
      </c>
      <c r="T117" s="957"/>
      <c r="AA117" s="524"/>
    </row>
    <row r="118" spans="1:27" s="495" customFormat="1" ht="16.899999999999999" customHeight="1" thickBot="1" x14ac:dyDescent="0.25">
      <c r="A118" s="1611"/>
      <c r="B118" s="695" t="s">
        <v>139</v>
      </c>
      <c r="C118" s="944"/>
      <c r="D118" s="944"/>
      <c r="E118" s="944">
        <f>C118+D118</f>
        <v>0</v>
      </c>
      <c r="F118" s="944"/>
      <c r="G118" s="1418">
        <f t="shared" si="50"/>
        <v>0</v>
      </c>
      <c r="H118" s="1418"/>
      <c r="I118" s="1418">
        <f t="shared" si="49"/>
        <v>0</v>
      </c>
      <c r="J118" s="1418"/>
      <c r="K118" s="1418">
        <f>I118+J118</f>
        <v>0</v>
      </c>
      <c r="L118" s="1418"/>
      <c r="M118" s="1418">
        <f>K118+L118</f>
        <v>0</v>
      </c>
      <c r="N118" s="933">
        <f t="shared" si="51"/>
        <v>0</v>
      </c>
      <c r="O118" s="945"/>
      <c r="P118" s="946"/>
      <c r="Q118" s="951"/>
      <c r="R118" s="952"/>
      <c r="S118" s="937">
        <f t="shared" si="31"/>
        <v>0</v>
      </c>
      <c r="T118" s="956"/>
      <c r="AA118" s="524"/>
    </row>
    <row r="119" spans="1:27" s="496" customFormat="1" ht="16.899999999999999" customHeight="1" thickBot="1" x14ac:dyDescent="0.25">
      <c r="A119" s="1612"/>
      <c r="B119" s="1421" t="s">
        <v>134</v>
      </c>
      <c r="C119" s="947">
        <f t="shared" ref="C119:P119" si="54">C113+C117+C118</f>
        <v>87523</v>
      </c>
      <c r="D119" s="947">
        <f t="shared" si="54"/>
        <v>2690</v>
      </c>
      <c r="E119" s="947">
        <f t="shared" si="54"/>
        <v>90213</v>
      </c>
      <c r="F119" s="947">
        <f t="shared" si="54"/>
        <v>160</v>
      </c>
      <c r="G119" s="947">
        <f t="shared" si="54"/>
        <v>90373</v>
      </c>
      <c r="H119" s="947">
        <f>H113+H117+H118</f>
        <v>105</v>
      </c>
      <c r="I119" s="947">
        <f t="shared" si="49"/>
        <v>90478</v>
      </c>
      <c r="J119" s="947">
        <f>J113+J117+J118</f>
        <v>52</v>
      </c>
      <c r="K119" s="947">
        <f>K113+K117+K118</f>
        <v>90530</v>
      </c>
      <c r="L119" s="947">
        <f>L113+L117+L118</f>
        <v>2053</v>
      </c>
      <c r="M119" s="947">
        <f>M113+M117+M118</f>
        <v>92583</v>
      </c>
      <c r="N119" s="947">
        <f>M119</f>
        <v>92583</v>
      </c>
      <c r="O119" s="947">
        <f t="shared" si="54"/>
        <v>0</v>
      </c>
      <c r="P119" s="948">
        <f t="shared" si="54"/>
        <v>0</v>
      </c>
      <c r="Q119" s="953"/>
      <c r="R119" s="954"/>
      <c r="S119" s="937">
        <f t="shared" si="31"/>
        <v>92583</v>
      </c>
      <c r="T119" s="957"/>
      <c r="AA119" s="524"/>
    </row>
    <row r="120" spans="1:27" s="525" customFormat="1" ht="22.9" customHeight="1" thickBot="1" x14ac:dyDescent="0.25">
      <c r="A120" s="627"/>
      <c r="B120" s="1614" t="s">
        <v>5</v>
      </c>
      <c r="C120" s="1615"/>
      <c r="D120" s="1615"/>
      <c r="E120" s="1615"/>
      <c r="F120" s="1615"/>
      <c r="G120" s="1615"/>
      <c r="H120" s="1615"/>
      <c r="I120" s="1615"/>
      <c r="J120" s="1615"/>
      <c r="K120" s="1615"/>
      <c r="L120" s="1615"/>
      <c r="M120" s="1615"/>
      <c r="N120" s="1615"/>
      <c r="O120" s="1615"/>
      <c r="P120" s="1616"/>
      <c r="Q120" s="702"/>
      <c r="R120" s="703"/>
      <c r="S120" s="694"/>
      <c r="AA120" s="526"/>
    </row>
    <row r="121" spans="1:27" s="495" customFormat="1" ht="16.899999999999999" customHeight="1" x14ac:dyDescent="0.2">
      <c r="A121" s="1610" t="s">
        <v>99</v>
      </c>
      <c r="B121" s="527" t="s">
        <v>41</v>
      </c>
      <c r="C121" s="693">
        <v>12057</v>
      </c>
      <c r="D121" s="693">
        <f>56+7686</f>
        <v>7742</v>
      </c>
      <c r="E121" s="693">
        <f>C121+D121</f>
        <v>19799</v>
      </c>
      <c r="F121" s="693">
        <f>19+8593</f>
        <v>8612</v>
      </c>
      <c r="G121" s="693">
        <f>E121+F121</f>
        <v>28411</v>
      </c>
      <c r="H121" s="933">
        <f>10308+10</f>
        <v>10318</v>
      </c>
      <c r="I121" s="933">
        <f t="shared" ref="I121:I132" si="55">G121+H121</f>
        <v>38729</v>
      </c>
      <c r="J121" s="933">
        <f>5470+6</f>
        <v>5476</v>
      </c>
      <c r="K121" s="933">
        <f>I121+J121</f>
        <v>44205</v>
      </c>
      <c r="L121" s="933">
        <f>5+15064</f>
        <v>15069</v>
      </c>
      <c r="M121" s="933">
        <f>K121+L121</f>
        <v>59274</v>
      </c>
      <c r="N121" s="933">
        <f>M121</f>
        <v>59274</v>
      </c>
      <c r="O121" s="693">
        <v>0</v>
      </c>
      <c r="P121" s="591">
        <v>0</v>
      </c>
      <c r="Q121" s="700"/>
      <c r="R121" s="701"/>
      <c r="S121" s="694">
        <f t="shared" si="31"/>
        <v>59274</v>
      </c>
      <c r="AA121" s="524"/>
    </row>
    <row r="122" spans="1:27" s="495" customFormat="1" ht="30.95" customHeight="1" x14ac:dyDescent="0.2">
      <c r="A122" s="1611"/>
      <c r="B122" s="528" t="s">
        <v>309</v>
      </c>
      <c r="C122" s="938">
        <v>3273</v>
      </c>
      <c r="D122" s="938">
        <f>15+1038</f>
        <v>1053</v>
      </c>
      <c r="E122" s="933">
        <f>C122+D122</f>
        <v>4326</v>
      </c>
      <c r="F122" s="933">
        <f>4+1160</f>
        <v>1164</v>
      </c>
      <c r="G122" s="693">
        <f t="shared" ref="G122:G131" si="56">E122+F122</f>
        <v>5490</v>
      </c>
      <c r="H122" s="933">
        <f>1391+3</f>
        <v>1394</v>
      </c>
      <c r="I122" s="933">
        <f t="shared" si="55"/>
        <v>6884</v>
      </c>
      <c r="J122" s="933">
        <f>733+1</f>
        <v>734</v>
      </c>
      <c r="K122" s="933">
        <f>I122+J122</f>
        <v>7618</v>
      </c>
      <c r="L122" s="933">
        <f>2+2033</f>
        <v>2035</v>
      </c>
      <c r="M122" s="933">
        <f>K122+L122</f>
        <v>9653</v>
      </c>
      <c r="N122" s="933">
        <f t="shared" ref="N122:N131" si="57">M122</f>
        <v>9653</v>
      </c>
      <c r="O122" s="938">
        <v>0</v>
      </c>
      <c r="P122" s="939">
        <v>0</v>
      </c>
      <c r="Q122" s="951"/>
      <c r="R122" s="952"/>
      <c r="S122" s="937">
        <f t="shared" si="31"/>
        <v>9653</v>
      </c>
      <c r="T122" s="956"/>
      <c r="U122" s="956"/>
      <c r="AA122" s="524"/>
    </row>
    <row r="123" spans="1:27" s="495" customFormat="1" ht="16.899999999999999" customHeight="1" x14ac:dyDescent="0.2">
      <c r="A123" s="1611"/>
      <c r="B123" s="528" t="s">
        <v>133</v>
      </c>
      <c r="C123" s="938">
        <v>26900</v>
      </c>
      <c r="D123" s="938">
        <f>174-91</f>
        <v>83</v>
      </c>
      <c r="E123" s="933">
        <f>C123+D123</f>
        <v>26983</v>
      </c>
      <c r="F123" s="933"/>
      <c r="G123" s="693">
        <f t="shared" si="56"/>
        <v>26983</v>
      </c>
      <c r="H123" s="933"/>
      <c r="I123" s="933">
        <f t="shared" si="55"/>
        <v>26983</v>
      </c>
      <c r="J123" s="933"/>
      <c r="K123" s="933">
        <f>I123+J123</f>
        <v>26983</v>
      </c>
      <c r="L123" s="933">
        <v>2000</v>
      </c>
      <c r="M123" s="933">
        <f>K123+L123</f>
        <v>28983</v>
      </c>
      <c r="N123" s="933">
        <f t="shared" si="57"/>
        <v>28983</v>
      </c>
      <c r="O123" s="938">
        <v>0</v>
      </c>
      <c r="P123" s="939">
        <v>0</v>
      </c>
      <c r="Q123" s="951"/>
      <c r="R123" s="952"/>
      <c r="S123" s="937">
        <f t="shared" si="31"/>
        <v>28983</v>
      </c>
      <c r="T123" s="956"/>
      <c r="U123" s="956"/>
      <c r="AA123" s="524"/>
    </row>
    <row r="124" spans="1:27" s="495" customFormat="1" ht="16.899999999999999" customHeight="1" x14ac:dyDescent="0.2">
      <c r="A124" s="1611"/>
      <c r="B124" s="528" t="s">
        <v>43</v>
      </c>
      <c r="C124" s="938">
        <v>0</v>
      </c>
      <c r="D124" s="938"/>
      <c r="E124" s="933">
        <f>C124+D124</f>
        <v>0</v>
      </c>
      <c r="F124" s="933"/>
      <c r="G124" s="693">
        <f t="shared" si="56"/>
        <v>0</v>
      </c>
      <c r="H124" s="933"/>
      <c r="I124" s="933">
        <f t="shared" si="55"/>
        <v>0</v>
      </c>
      <c r="J124" s="933"/>
      <c r="K124" s="933">
        <f>I124+J124</f>
        <v>0</v>
      </c>
      <c r="L124" s="933"/>
      <c r="M124" s="933">
        <f>K124+L124</f>
        <v>0</v>
      </c>
      <c r="N124" s="933">
        <f t="shared" si="57"/>
        <v>0</v>
      </c>
      <c r="O124" s="938">
        <v>0</v>
      </c>
      <c r="P124" s="939">
        <v>0</v>
      </c>
      <c r="Q124" s="951"/>
      <c r="R124" s="952"/>
      <c r="S124" s="937">
        <f t="shared" si="31"/>
        <v>0</v>
      </c>
      <c r="T124" s="956"/>
      <c r="U124" s="956"/>
      <c r="AA124" s="524"/>
    </row>
    <row r="125" spans="1:27" s="495" customFormat="1" ht="16.899999999999999" customHeight="1" x14ac:dyDescent="0.2">
      <c r="A125" s="1611"/>
      <c r="B125" s="528" t="s">
        <v>368</v>
      </c>
      <c r="C125" s="938">
        <v>0</v>
      </c>
      <c r="D125" s="938"/>
      <c r="E125" s="933">
        <f>C125+D125</f>
        <v>0</v>
      </c>
      <c r="F125" s="933"/>
      <c r="G125" s="693">
        <f t="shared" si="56"/>
        <v>0</v>
      </c>
      <c r="H125" s="933"/>
      <c r="I125" s="933">
        <f t="shared" si="55"/>
        <v>0</v>
      </c>
      <c r="J125" s="933"/>
      <c r="K125" s="933">
        <f>I125+J125</f>
        <v>0</v>
      </c>
      <c r="L125" s="933"/>
      <c r="M125" s="933">
        <f>K125+L125</f>
        <v>0</v>
      </c>
      <c r="N125" s="933">
        <f t="shared" si="57"/>
        <v>0</v>
      </c>
      <c r="O125" s="938">
        <v>0</v>
      </c>
      <c r="P125" s="939">
        <v>0</v>
      </c>
      <c r="Q125" s="951"/>
      <c r="R125" s="952"/>
      <c r="S125" s="937">
        <f t="shared" si="31"/>
        <v>0</v>
      </c>
      <c r="T125" s="956"/>
      <c r="U125" s="956"/>
      <c r="AA125" s="524"/>
    </row>
    <row r="126" spans="1:27" s="496" customFormat="1" ht="16.899999999999999" customHeight="1" x14ac:dyDescent="0.2">
      <c r="A126" s="1611"/>
      <c r="B126" s="529" t="s">
        <v>369</v>
      </c>
      <c r="C126" s="940">
        <f t="shared" ref="C126:H126" si="58">SUM(C121:C125)</f>
        <v>42230</v>
      </c>
      <c r="D126" s="940">
        <f t="shared" si="58"/>
        <v>8878</v>
      </c>
      <c r="E126" s="940">
        <f t="shared" si="58"/>
        <v>51108</v>
      </c>
      <c r="F126" s="940">
        <f t="shared" si="58"/>
        <v>9776</v>
      </c>
      <c r="G126" s="940">
        <f t="shared" si="58"/>
        <v>60884</v>
      </c>
      <c r="H126" s="940">
        <f t="shared" si="58"/>
        <v>11712</v>
      </c>
      <c r="I126" s="958">
        <f t="shared" si="55"/>
        <v>72596</v>
      </c>
      <c r="J126" s="958">
        <f>SUM(J121:J125)</f>
        <v>6210</v>
      </c>
      <c r="K126" s="958">
        <f>SUM(K121:K125)</f>
        <v>78806</v>
      </c>
      <c r="L126" s="958">
        <f>SUM(L121:L125)</f>
        <v>19104</v>
      </c>
      <c r="M126" s="958">
        <f>SUM(M121:M125)</f>
        <v>97910</v>
      </c>
      <c r="N126" s="958">
        <f t="shared" si="57"/>
        <v>97910</v>
      </c>
      <c r="O126" s="940">
        <f>SUM(O121:O125)</f>
        <v>0</v>
      </c>
      <c r="P126" s="941">
        <f>SUM(P121:P125)</f>
        <v>0</v>
      </c>
      <c r="Q126" s="955">
        <f>SUM(Q121:Q125)</f>
        <v>0</v>
      </c>
      <c r="R126" s="940">
        <f>SUM(R121:R125)</f>
        <v>0</v>
      </c>
      <c r="S126" s="937">
        <f t="shared" si="31"/>
        <v>97910</v>
      </c>
      <c r="T126" s="957"/>
      <c r="U126" s="957"/>
      <c r="AA126" s="524"/>
    </row>
    <row r="127" spans="1:27" s="495" customFormat="1" ht="16.899999999999999" customHeight="1" x14ac:dyDescent="0.2">
      <c r="A127" s="1611"/>
      <c r="B127" s="528" t="s">
        <v>370</v>
      </c>
      <c r="C127" s="938">
        <v>0</v>
      </c>
      <c r="D127" s="938">
        <f>9500+1592+91</f>
        <v>11183</v>
      </c>
      <c r="E127" s="938">
        <f>C127+D127</f>
        <v>11183</v>
      </c>
      <c r="F127" s="933"/>
      <c r="G127" s="693">
        <f t="shared" si="56"/>
        <v>11183</v>
      </c>
      <c r="H127" s="933"/>
      <c r="I127" s="933">
        <f t="shared" si="55"/>
        <v>11183</v>
      </c>
      <c r="J127" s="933"/>
      <c r="K127" s="933">
        <f>I127+J127</f>
        <v>11183</v>
      </c>
      <c r="L127" s="933">
        <f>-2000-450</f>
        <v>-2450</v>
      </c>
      <c r="M127" s="933">
        <f>K127+L127</f>
        <v>8733</v>
      </c>
      <c r="N127" s="933">
        <f t="shared" si="57"/>
        <v>8733</v>
      </c>
      <c r="O127" s="938">
        <v>0</v>
      </c>
      <c r="P127" s="939">
        <v>0</v>
      </c>
      <c r="Q127" s="951"/>
      <c r="R127" s="952"/>
      <c r="S127" s="937">
        <f t="shared" si="31"/>
        <v>8733</v>
      </c>
      <c r="T127" s="956"/>
      <c r="U127" s="956"/>
      <c r="AA127" s="524"/>
    </row>
    <row r="128" spans="1:27" s="495" customFormat="1" ht="16.899999999999999" customHeight="1" x14ac:dyDescent="0.2">
      <c r="A128" s="1611"/>
      <c r="B128" s="528" t="s">
        <v>55</v>
      </c>
      <c r="C128" s="938">
        <v>0</v>
      </c>
      <c r="D128" s="938"/>
      <c r="E128" s="938">
        <f>C128+D128</f>
        <v>0</v>
      </c>
      <c r="F128" s="933"/>
      <c r="G128" s="693">
        <f t="shared" si="56"/>
        <v>0</v>
      </c>
      <c r="H128" s="933"/>
      <c r="I128" s="933">
        <f t="shared" si="55"/>
        <v>0</v>
      </c>
      <c r="J128" s="933"/>
      <c r="K128" s="933">
        <f>I128+J128</f>
        <v>0</v>
      </c>
      <c r="L128" s="933"/>
      <c r="M128" s="933">
        <f>K128+L128</f>
        <v>0</v>
      </c>
      <c r="N128" s="933">
        <f t="shared" si="57"/>
        <v>0</v>
      </c>
      <c r="O128" s="938">
        <v>0</v>
      </c>
      <c r="P128" s="939">
        <v>0</v>
      </c>
      <c r="Q128" s="951"/>
      <c r="R128" s="952"/>
      <c r="S128" s="937">
        <f t="shared" si="31"/>
        <v>0</v>
      </c>
      <c r="T128" s="956"/>
      <c r="U128" s="956"/>
      <c r="AA128" s="524"/>
    </row>
    <row r="129" spans="1:27" s="495" customFormat="1" ht="16.899999999999999" customHeight="1" x14ac:dyDescent="0.2">
      <c r="A129" s="1611"/>
      <c r="B129" s="528" t="s">
        <v>371</v>
      </c>
      <c r="C129" s="938">
        <v>0</v>
      </c>
      <c r="D129" s="938"/>
      <c r="E129" s="938">
        <f>C129+D129</f>
        <v>0</v>
      </c>
      <c r="F129" s="933"/>
      <c r="G129" s="693">
        <f t="shared" si="56"/>
        <v>0</v>
      </c>
      <c r="H129" s="933"/>
      <c r="I129" s="933">
        <f t="shared" si="55"/>
        <v>0</v>
      </c>
      <c r="J129" s="933"/>
      <c r="K129" s="933">
        <f>I129+J129</f>
        <v>0</v>
      </c>
      <c r="L129" s="933"/>
      <c r="M129" s="933">
        <f>K129+L129</f>
        <v>0</v>
      </c>
      <c r="N129" s="933">
        <f t="shared" si="57"/>
        <v>0</v>
      </c>
      <c r="O129" s="938">
        <v>0</v>
      </c>
      <c r="P129" s="939">
        <v>0</v>
      </c>
      <c r="Q129" s="951"/>
      <c r="R129" s="952"/>
      <c r="S129" s="937">
        <f t="shared" si="31"/>
        <v>0</v>
      </c>
      <c r="T129" s="956"/>
      <c r="U129" s="956"/>
      <c r="AA129" s="524"/>
    </row>
    <row r="130" spans="1:27" s="496" customFormat="1" ht="16.899999999999999" customHeight="1" x14ac:dyDescent="0.2">
      <c r="A130" s="1611"/>
      <c r="B130" s="529" t="s">
        <v>372</v>
      </c>
      <c r="C130" s="940">
        <f t="shared" ref="C130:H130" si="59">SUM(C127:C129)</f>
        <v>0</v>
      </c>
      <c r="D130" s="940">
        <f t="shared" si="59"/>
        <v>11183</v>
      </c>
      <c r="E130" s="940">
        <f t="shared" si="59"/>
        <v>11183</v>
      </c>
      <c r="F130" s="940">
        <f t="shared" si="59"/>
        <v>0</v>
      </c>
      <c r="G130" s="940">
        <f t="shared" si="59"/>
        <v>11183</v>
      </c>
      <c r="H130" s="940">
        <f t="shared" si="59"/>
        <v>0</v>
      </c>
      <c r="I130" s="958">
        <f t="shared" si="55"/>
        <v>11183</v>
      </c>
      <c r="J130" s="958">
        <f>SUM(J127:J129)</f>
        <v>0</v>
      </c>
      <c r="K130" s="958">
        <f>SUM(K127:K129)</f>
        <v>11183</v>
      </c>
      <c r="L130" s="958">
        <f>SUM(L127:L129)</f>
        <v>-2450</v>
      </c>
      <c r="M130" s="958">
        <f>SUM(M127:M129)</f>
        <v>8733</v>
      </c>
      <c r="N130" s="958">
        <f t="shared" si="57"/>
        <v>8733</v>
      </c>
      <c r="O130" s="940">
        <f>SUM(O127:O129)</f>
        <v>0</v>
      </c>
      <c r="P130" s="941">
        <f>SUM(P127:P129)</f>
        <v>0</v>
      </c>
      <c r="Q130" s="953"/>
      <c r="R130" s="954"/>
      <c r="S130" s="937">
        <f t="shared" si="31"/>
        <v>8733</v>
      </c>
      <c r="T130" s="957"/>
      <c r="U130" s="957"/>
      <c r="AA130" s="524"/>
    </row>
    <row r="131" spans="1:27" s="495" customFormat="1" ht="16.899999999999999" customHeight="1" thickBot="1" x14ac:dyDescent="0.25">
      <c r="A131" s="1611"/>
      <c r="B131" s="695" t="s">
        <v>139</v>
      </c>
      <c r="C131" s="944"/>
      <c r="D131" s="944"/>
      <c r="E131" s="944">
        <f>C131+D131</f>
        <v>0</v>
      </c>
      <c r="F131" s="944"/>
      <c r="G131" s="1430">
        <f t="shared" si="56"/>
        <v>0</v>
      </c>
      <c r="H131" s="1418"/>
      <c r="I131" s="1418">
        <f t="shared" si="55"/>
        <v>0</v>
      </c>
      <c r="J131" s="1418"/>
      <c r="K131" s="1418">
        <f>I131+J131</f>
        <v>0</v>
      </c>
      <c r="L131" s="1418"/>
      <c r="M131" s="1418">
        <f>K131+L131</f>
        <v>0</v>
      </c>
      <c r="N131" s="933">
        <f t="shared" si="57"/>
        <v>0</v>
      </c>
      <c r="O131" s="945"/>
      <c r="P131" s="946"/>
      <c r="Q131" s="951"/>
      <c r="R131" s="952"/>
      <c r="S131" s="937">
        <f t="shared" si="31"/>
        <v>0</v>
      </c>
      <c r="T131" s="956"/>
      <c r="U131" s="956"/>
      <c r="AA131" s="524"/>
    </row>
    <row r="132" spans="1:27" s="496" customFormat="1" ht="16.899999999999999" customHeight="1" thickBot="1" x14ac:dyDescent="0.25">
      <c r="A132" s="1612"/>
      <c r="B132" s="1421" t="s">
        <v>134</v>
      </c>
      <c r="C132" s="947">
        <f t="shared" ref="C132:P132" si="60">C126+C130+C131</f>
        <v>42230</v>
      </c>
      <c r="D132" s="947">
        <f t="shared" si="60"/>
        <v>20061</v>
      </c>
      <c r="E132" s="947">
        <f t="shared" si="60"/>
        <v>62291</v>
      </c>
      <c r="F132" s="947">
        <f t="shared" si="60"/>
        <v>9776</v>
      </c>
      <c r="G132" s="947">
        <f t="shared" si="60"/>
        <v>72067</v>
      </c>
      <c r="H132" s="947">
        <f>H126+H130+H131</f>
        <v>11712</v>
      </c>
      <c r="I132" s="947">
        <f t="shared" si="55"/>
        <v>83779</v>
      </c>
      <c r="J132" s="947">
        <f>J126+J130+J131</f>
        <v>6210</v>
      </c>
      <c r="K132" s="947">
        <f>K126+K130+K131</f>
        <v>89989</v>
      </c>
      <c r="L132" s="947">
        <f>L126+L130+L131</f>
        <v>16654</v>
      </c>
      <c r="M132" s="947">
        <f>M126+M130+M131</f>
        <v>106643</v>
      </c>
      <c r="N132" s="947">
        <f>M132</f>
        <v>106643</v>
      </c>
      <c r="O132" s="947">
        <f t="shared" si="60"/>
        <v>0</v>
      </c>
      <c r="P132" s="948">
        <f t="shared" si="60"/>
        <v>0</v>
      </c>
      <c r="Q132" s="953"/>
      <c r="R132" s="954"/>
      <c r="S132" s="937">
        <f t="shared" si="31"/>
        <v>106643</v>
      </c>
      <c r="T132" s="957"/>
      <c r="U132" s="957"/>
      <c r="AA132" s="524"/>
    </row>
    <row r="133" spans="1:27" s="525" customFormat="1" ht="22.9" customHeight="1" thickBot="1" x14ac:dyDescent="0.25">
      <c r="A133" s="627"/>
      <c r="B133" s="704" t="s">
        <v>127</v>
      </c>
      <c r="C133" s="1617"/>
      <c r="D133" s="1618"/>
      <c r="E133" s="1618"/>
      <c r="F133" s="1618"/>
      <c r="G133" s="1618"/>
      <c r="H133" s="1618"/>
      <c r="I133" s="1618"/>
      <c r="J133" s="1618"/>
      <c r="K133" s="1618"/>
      <c r="L133" s="1618"/>
      <c r="M133" s="1618"/>
      <c r="N133" s="1619"/>
      <c r="O133" s="1619"/>
      <c r="P133" s="1620"/>
      <c r="Q133" s="702"/>
      <c r="R133" s="703"/>
      <c r="S133" s="694"/>
      <c r="AA133" s="526"/>
    </row>
    <row r="134" spans="1:27" s="495" customFormat="1" ht="16.899999999999999" customHeight="1" x14ac:dyDescent="0.2">
      <c r="A134" s="1610" t="s">
        <v>99</v>
      </c>
      <c r="B134" s="527" t="s">
        <v>41</v>
      </c>
      <c r="C134" s="933">
        <v>3016</v>
      </c>
      <c r="D134" s="933"/>
      <c r="E134" s="933">
        <f>C134+D134</f>
        <v>3016</v>
      </c>
      <c r="F134" s="933"/>
      <c r="G134" s="933">
        <f>E134+F134</f>
        <v>3016</v>
      </c>
      <c r="H134" s="933">
        <v>0</v>
      </c>
      <c r="I134" s="933">
        <f t="shared" ref="I134:I145" si="61">G134+H134</f>
        <v>3016</v>
      </c>
      <c r="J134" s="933"/>
      <c r="K134" s="933">
        <f>I134+J134</f>
        <v>3016</v>
      </c>
      <c r="L134" s="933">
        <v>-1200</v>
      </c>
      <c r="M134" s="933">
        <f>K134+L134</f>
        <v>1816</v>
      </c>
      <c r="N134" s="933">
        <v>0</v>
      </c>
      <c r="O134" s="933">
        <v>1816</v>
      </c>
      <c r="P134" s="934">
        <v>0</v>
      </c>
      <c r="Q134" s="951"/>
      <c r="R134" s="952"/>
      <c r="S134" s="937">
        <f t="shared" ref="S134:S184" si="62">N134+O134+P134</f>
        <v>1816</v>
      </c>
      <c r="AA134" s="524"/>
    </row>
    <row r="135" spans="1:27" s="495" customFormat="1" ht="30.95" customHeight="1" x14ac:dyDescent="0.2">
      <c r="A135" s="1611"/>
      <c r="B135" s="528" t="s">
        <v>309</v>
      </c>
      <c r="C135" s="938">
        <v>833</v>
      </c>
      <c r="D135" s="938"/>
      <c r="E135" s="933">
        <f>C135+D135</f>
        <v>833</v>
      </c>
      <c r="F135" s="933"/>
      <c r="G135" s="933">
        <f t="shared" ref="G135:G144" si="63">E135+F135</f>
        <v>833</v>
      </c>
      <c r="H135" s="933"/>
      <c r="I135" s="933">
        <f t="shared" si="61"/>
        <v>833</v>
      </c>
      <c r="J135" s="933"/>
      <c r="K135" s="933">
        <f>I135+J135</f>
        <v>833</v>
      </c>
      <c r="L135" s="933">
        <v>-300</v>
      </c>
      <c r="M135" s="933">
        <f>K135+L135</f>
        <v>533</v>
      </c>
      <c r="N135" s="938">
        <v>0</v>
      </c>
      <c r="O135" s="938">
        <v>533</v>
      </c>
      <c r="P135" s="939">
        <v>0</v>
      </c>
      <c r="Q135" s="951"/>
      <c r="R135" s="952"/>
      <c r="S135" s="937">
        <f t="shared" si="62"/>
        <v>533</v>
      </c>
      <c r="AA135" s="524"/>
    </row>
    <row r="136" spans="1:27" s="495" customFormat="1" ht="16.899999999999999" customHeight="1" x14ac:dyDescent="0.2">
      <c r="A136" s="1611"/>
      <c r="B136" s="528" t="s">
        <v>133</v>
      </c>
      <c r="C136" s="938">
        <v>6400</v>
      </c>
      <c r="D136" s="938"/>
      <c r="E136" s="933">
        <f>C136+D136</f>
        <v>6400</v>
      </c>
      <c r="F136" s="933"/>
      <c r="G136" s="933">
        <f t="shared" si="63"/>
        <v>6400</v>
      </c>
      <c r="H136" s="933"/>
      <c r="I136" s="933">
        <f t="shared" si="61"/>
        <v>6400</v>
      </c>
      <c r="J136" s="933"/>
      <c r="K136" s="933">
        <f>I136+J136</f>
        <v>6400</v>
      </c>
      <c r="L136" s="933">
        <v>278</v>
      </c>
      <c r="M136" s="933">
        <f>K136+L136</f>
        <v>6678</v>
      </c>
      <c r="N136" s="938">
        <v>0</v>
      </c>
      <c r="O136" s="938">
        <v>6678</v>
      </c>
      <c r="P136" s="939">
        <v>0</v>
      </c>
      <c r="Q136" s="951"/>
      <c r="R136" s="952"/>
      <c r="S136" s="937">
        <f t="shared" si="62"/>
        <v>6678</v>
      </c>
      <c r="AA136" s="524"/>
    </row>
    <row r="137" spans="1:27" s="495" customFormat="1" ht="16.899999999999999" customHeight="1" x14ac:dyDescent="0.2">
      <c r="A137" s="1611"/>
      <c r="B137" s="528" t="s">
        <v>43</v>
      </c>
      <c r="C137" s="938">
        <v>0</v>
      </c>
      <c r="D137" s="938"/>
      <c r="E137" s="933">
        <f>C137+D137</f>
        <v>0</v>
      </c>
      <c r="F137" s="933"/>
      <c r="G137" s="933">
        <f t="shared" si="63"/>
        <v>0</v>
      </c>
      <c r="H137" s="933"/>
      <c r="I137" s="933">
        <f t="shared" si="61"/>
        <v>0</v>
      </c>
      <c r="J137" s="933"/>
      <c r="K137" s="933">
        <f>I137+J137</f>
        <v>0</v>
      </c>
      <c r="L137" s="933"/>
      <c r="M137" s="933">
        <f>K137+L137</f>
        <v>0</v>
      </c>
      <c r="N137" s="938">
        <v>0</v>
      </c>
      <c r="O137" s="938">
        <v>0</v>
      </c>
      <c r="P137" s="939">
        <v>0</v>
      </c>
      <c r="Q137" s="951"/>
      <c r="R137" s="952"/>
      <c r="S137" s="937">
        <f t="shared" si="62"/>
        <v>0</v>
      </c>
      <c r="AA137" s="524"/>
    </row>
    <row r="138" spans="1:27" s="495" customFormat="1" ht="16.899999999999999" customHeight="1" x14ac:dyDescent="0.2">
      <c r="A138" s="1611"/>
      <c r="B138" s="528" t="s">
        <v>368</v>
      </c>
      <c r="C138" s="938">
        <v>0</v>
      </c>
      <c r="D138" s="938"/>
      <c r="E138" s="933">
        <f>C138+D138</f>
        <v>0</v>
      </c>
      <c r="F138" s="933"/>
      <c r="G138" s="933">
        <f t="shared" si="63"/>
        <v>0</v>
      </c>
      <c r="H138" s="933"/>
      <c r="I138" s="933">
        <f t="shared" si="61"/>
        <v>0</v>
      </c>
      <c r="J138" s="933"/>
      <c r="K138" s="933">
        <f>I138+J138</f>
        <v>0</v>
      </c>
      <c r="L138" s="933"/>
      <c r="M138" s="933">
        <f>K138+L138</f>
        <v>0</v>
      </c>
      <c r="N138" s="938">
        <v>0</v>
      </c>
      <c r="O138" s="938">
        <v>0</v>
      </c>
      <c r="P138" s="939">
        <v>0</v>
      </c>
      <c r="Q138" s="951"/>
      <c r="R138" s="952"/>
      <c r="S138" s="937">
        <f t="shared" si="62"/>
        <v>0</v>
      </c>
      <c r="AA138" s="524"/>
    </row>
    <row r="139" spans="1:27" s="496" customFormat="1" ht="16.899999999999999" customHeight="1" x14ac:dyDescent="0.2">
      <c r="A139" s="1611"/>
      <c r="B139" s="529" t="s">
        <v>369</v>
      </c>
      <c r="C139" s="940">
        <f t="shared" ref="C139:O139" si="64">SUM(C134:C138)</f>
        <v>10249</v>
      </c>
      <c r="D139" s="940">
        <f t="shared" si="64"/>
        <v>0</v>
      </c>
      <c r="E139" s="940">
        <f t="shared" si="64"/>
        <v>10249</v>
      </c>
      <c r="F139" s="940">
        <f t="shared" si="64"/>
        <v>0</v>
      </c>
      <c r="G139" s="940">
        <f t="shared" si="64"/>
        <v>10249</v>
      </c>
      <c r="H139" s="940">
        <f>SUM(H134:H138)</f>
        <v>0</v>
      </c>
      <c r="I139" s="958">
        <f t="shared" si="61"/>
        <v>10249</v>
      </c>
      <c r="J139" s="958">
        <f>SUM(J134:J138)</f>
        <v>0</v>
      </c>
      <c r="K139" s="958">
        <f>SUM(K134:K138)</f>
        <v>10249</v>
      </c>
      <c r="L139" s="958">
        <f>SUM(L134:L138)</f>
        <v>-1222</v>
      </c>
      <c r="M139" s="958">
        <f>SUM(M134:M138)</f>
        <v>9027</v>
      </c>
      <c r="N139" s="940">
        <f t="shared" si="64"/>
        <v>0</v>
      </c>
      <c r="O139" s="940">
        <f t="shared" si="64"/>
        <v>9027</v>
      </c>
      <c r="P139" s="941">
        <f>SUM(P134:P137)</f>
        <v>0</v>
      </c>
      <c r="Q139" s="953"/>
      <c r="R139" s="954"/>
      <c r="S139" s="937">
        <f t="shared" si="62"/>
        <v>9027</v>
      </c>
      <c r="AA139" s="524"/>
    </row>
    <row r="140" spans="1:27" s="495" customFormat="1" ht="16.899999999999999" customHeight="1" x14ac:dyDescent="0.2">
      <c r="A140" s="1611"/>
      <c r="B140" s="528" t="s">
        <v>370</v>
      </c>
      <c r="C140" s="938">
        <v>0</v>
      </c>
      <c r="D140" s="938"/>
      <c r="E140" s="938">
        <f>C140+D140</f>
        <v>0</v>
      </c>
      <c r="F140" s="938">
        <v>216</v>
      </c>
      <c r="G140" s="933">
        <f t="shared" si="63"/>
        <v>216</v>
      </c>
      <c r="H140" s="933">
        <v>126</v>
      </c>
      <c r="I140" s="933">
        <f t="shared" si="61"/>
        <v>342</v>
      </c>
      <c r="J140" s="933"/>
      <c r="K140" s="933">
        <f>I140+J140</f>
        <v>342</v>
      </c>
      <c r="L140" s="933">
        <v>5</v>
      </c>
      <c r="M140" s="933">
        <f>K140+L140</f>
        <v>347</v>
      </c>
      <c r="N140" s="938">
        <v>0</v>
      </c>
      <c r="O140" s="938">
        <v>347</v>
      </c>
      <c r="P140" s="939">
        <v>0</v>
      </c>
      <c r="Q140" s="951"/>
      <c r="R140" s="952"/>
      <c r="S140" s="937">
        <f t="shared" si="62"/>
        <v>347</v>
      </c>
      <c r="AA140" s="524"/>
    </row>
    <row r="141" spans="1:27" s="495" customFormat="1" ht="16.899999999999999" customHeight="1" x14ac:dyDescent="0.2">
      <c r="A141" s="1611"/>
      <c r="B141" s="528" t="s">
        <v>55</v>
      </c>
      <c r="C141" s="938">
        <v>0</v>
      </c>
      <c r="D141" s="938">
        <v>4425</v>
      </c>
      <c r="E141" s="938">
        <f>C141+D141</f>
        <v>4425</v>
      </c>
      <c r="F141" s="938">
        <v>-216</v>
      </c>
      <c r="G141" s="933">
        <f t="shared" si="63"/>
        <v>4209</v>
      </c>
      <c r="H141" s="933">
        <v>-126</v>
      </c>
      <c r="I141" s="933">
        <f t="shared" si="61"/>
        <v>4083</v>
      </c>
      <c r="J141" s="933"/>
      <c r="K141" s="933">
        <f>I141+J141</f>
        <v>4083</v>
      </c>
      <c r="L141" s="933">
        <v>-283</v>
      </c>
      <c r="M141" s="933">
        <f>K141+L141</f>
        <v>3800</v>
      </c>
      <c r="N141" s="938">
        <v>0</v>
      </c>
      <c r="O141" s="938">
        <v>3800</v>
      </c>
      <c r="P141" s="939">
        <v>0</v>
      </c>
      <c r="Q141" s="951"/>
      <c r="R141" s="952"/>
      <c r="S141" s="937">
        <f t="shared" si="62"/>
        <v>3800</v>
      </c>
      <c r="AA141" s="524"/>
    </row>
    <row r="142" spans="1:27" s="495" customFormat="1" ht="16.899999999999999" customHeight="1" x14ac:dyDescent="0.2">
      <c r="A142" s="1611"/>
      <c r="B142" s="528" t="s">
        <v>371</v>
      </c>
      <c r="C142" s="938">
        <v>0</v>
      </c>
      <c r="D142" s="938"/>
      <c r="E142" s="938">
        <f>C142+D142</f>
        <v>0</v>
      </c>
      <c r="F142" s="938"/>
      <c r="G142" s="933">
        <f t="shared" si="63"/>
        <v>0</v>
      </c>
      <c r="H142" s="933"/>
      <c r="I142" s="933">
        <f t="shared" si="61"/>
        <v>0</v>
      </c>
      <c r="J142" s="933"/>
      <c r="K142" s="933">
        <f>I142+J142</f>
        <v>0</v>
      </c>
      <c r="L142" s="933"/>
      <c r="M142" s="933">
        <f>K142+L142</f>
        <v>0</v>
      </c>
      <c r="N142" s="938">
        <v>0</v>
      </c>
      <c r="O142" s="938">
        <v>0</v>
      </c>
      <c r="P142" s="939">
        <v>0</v>
      </c>
      <c r="Q142" s="951"/>
      <c r="R142" s="952"/>
      <c r="S142" s="937">
        <f t="shared" si="62"/>
        <v>0</v>
      </c>
      <c r="AA142" s="524"/>
    </row>
    <row r="143" spans="1:27" s="496" customFormat="1" ht="16.899999999999999" customHeight="1" x14ac:dyDescent="0.2">
      <c r="A143" s="1611"/>
      <c r="B143" s="529" t="s">
        <v>372</v>
      </c>
      <c r="C143" s="940">
        <f t="shared" ref="C143:P143" si="65">SUM(C140:C142)</f>
        <v>0</v>
      </c>
      <c r="D143" s="940">
        <f t="shared" si="65"/>
        <v>4425</v>
      </c>
      <c r="E143" s="940">
        <f t="shared" si="65"/>
        <v>4425</v>
      </c>
      <c r="F143" s="940">
        <f t="shared" si="65"/>
        <v>0</v>
      </c>
      <c r="G143" s="940">
        <f t="shared" si="65"/>
        <v>4425</v>
      </c>
      <c r="H143" s="940">
        <f>SUM(H140:H142)</f>
        <v>0</v>
      </c>
      <c r="I143" s="958">
        <f t="shared" si="61"/>
        <v>4425</v>
      </c>
      <c r="J143" s="958">
        <f>SUM(J140:J142)</f>
        <v>0</v>
      </c>
      <c r="K143" s="958">
        <f>SUM(K140:K142)</f>
        <v>4425</v>
      </c>
      <c r="L143" s="958">
        <f>SUM(L140:L142)</f>
        <v>-278</v>
      </c>
      <c r="M143" s="958">
        <f>SUM(M140:M142)</f>
        <v>4147</v>
      </c>
      <c r="N143" s="940">
        <f t="shared" si="65"/>
        <v>0</v>
      </c>
      <c r="O143" s="940">
        <f t="shared" si="65"/>
        <v>4147</v>
      </c>
      <c r="P143" s="941">
        <f t="shared" si="65"/>
        <v>0</v>
      </c>
      <c r="Q143" s="953"/>
      <c r="R143" s="954"/>
      <c r="S143" s="937">
        <f t="shared" si="62"/>
        <v>4147</v>
      </c>
      <c r="AA143" s="524"/>
    </row>
    <row r="144" spans="1:27" s="495" customFormat="1" ht="16.899999999999999" customHeight="1" thickBot="1" x14ac:dyDescent="0.25">
      <c r="A144" s="1611"/>
      <c r="B144" s="695" t="s">
        <v>139</v>
      </c>
      <c r="C144" s="944"/>
      <c r="D144" s="944"/>
      <c r="E144" s="944">
        <f>C144+D144</f>
        <v>0</v>
      </c>
      <c r="F144" s="944"/>
      <c r="G144" s="1418">
        <f t="shared" si="63"/>
        <v>0</v>
      </c>
      <c r="H144" s="1418"/>
      <c r="I144" s="1418">
        <f t="shared" si="61"/>
        <v>0</v>
      </c>
      <c r="J144" s="1418"/>
      <c r="K144" s="1418">
        <f>I144+J144</f>
        <v>0</v>
      </c>
      <c r="L144" s="1418"/>
      <c r="M144" s="1418">
        <f>K144+L144</f>
        <v>0</v>
      </c>
      <c r="N144" s="944"/>
      <c r="O144" s="945"/>
      <c r="P144" s="946"/>
      <c r="Q144" s="951"/>
      <c r="R144" s="952"/>
      <c r="S144" s="937">
        <f t="shared" si="62"/>
        <v>0</v>
      </c>
      <c r="AA144" s="524"/>
    </row>
    <row r="145" spans="1:27" s="496" customFormat="1" ht="16.899999999999999" customHeight="1" thickBot="1" x14ac:dyDescent="0.25">
      <c r="A145" s="1612"/>
      <c r="B145" s="1421" t="s">
        <v>134</v>
      </c>
      <c r="C145" s="947">
        <f t="shared" ref="C145:P145" si="66">C139+C143+C144</f>
        <v>10249</v>
      </c>
      <c r="D145" s="947">
        <f t="shared" si="66"/>
        <v>4425</v>
      </c>
      <c r="E145" s="947">
        <f t="shared" si="66"/>
        <v>14674</v>
      </c>
      <c r="F145" s="947">
        <f t="shared" si="66"/>
        <v>0</v>
      </c>
      <c r="G145" s="947">
        <f t="shared" si="66"/>
        <v>14674</v>
      </c>
      <c r="H145" s="947">
        <f>H139+H143+H144</f>
        <v>0</v>
      </c>
      <c r="I145" s="947">
        <f t="shared" si="61"/>
        <v>14674</v>
      </c>
      <c r="J145" s="947">
        <f>J139+J143+J144</f>
        <v>0</v>
      </c>
      <c r="K145" s="947">
        <f>K139+K143+K144</f>
        <v>14674</v>
      </c>
      <c r="L145" s="947">
        <f>L139+L143+L144</f>
        <v>-1500</v>
      </c>
      <c r="M145" s="947">
        <f>M139+M143+M144</f>
        <v>13174</v>
      </c>
      <c r="N145" s="947">
        <f t="shared" si="66"/>
        <v>0</v>
      </c>
      <c r="O145" s="947">
        <f t="shared" si="66"/>
        <v>13174</v>
      </c>
      <c r="P145" s="948">
        <f t="shared" si="66"/>
        <v>0</v>
      </c>
      <c r="Q145" s="953"/>
      <c r="R145" s="954"/>
      <c r="S145" s="937">
        <f t="shared" si="62"/>
        <v>13174</v>
      </c>
      <c r="AA145" s="524"/>
    </row>
    <row r="146" spans="1:27" s="365" customFormat="1" ht="22.9" customHeight="1" thickBot="1" x14ac:dyDescent="0.25">
      <c r="A146" s="705"/>
      <c r="B146" s="706" t="s">
        <v>287</v>
      </c>
      <c r="C146" s="1621"/>
      <c r="D146" s="1622"/>
      <c r="E146" s="1622"/>
      <c r="F146" s="1622"/>
      <c r="G146" s="1622"/>
      <c r="H146" s="1622"/>
      <c r="I146" s="1622"/>
      <c r="J146" s="1622"/>
      <c r="K146" s="1622"/>
      <c r="L146" s="1622"/>
      <c r="M146" s="1622"/>
      <c r="N146" s="1619"/>
      <c r="O146" s="1619"/>
      <c r="P146" s="1620"/>
      <c r="Q146" s="707"/>
      <c r="R146" s="708"/>
      <c r="S146" s="694"/>
    </row>
    <row r="147" spans="1:27" s="107" customFormat="1" ht="16.899999999999999" customHeight="1" x14ac:dyDescent="0.2">
      <c r="A147" s="1623"/>
      <c r="B147" s="527" t="s">
        <v>41</v>
      </c>
      <c r="C147" s="933">
        <v>48191</v>
      </c>
      <c r="D147" s="933">
        <v>722</v>
      </c>
      <c r="E147" s="933">
        <f>C147+D147</f>
        <v>48913</v>
      </c>
      <c r="F147" s="933">
        <v>390</v>
      </c>
      <c r="G147" s="933">
        <f>E147+F147</f>
        <v>49303</v>
      </c>
      <c r="H147" s="933">
        <v>240</v>
      </c>
      <c r="I147" s="933">
        <f t="shared" ref="I147:I158" si="67">G147+H147</f>
        <v>49543</v>
      </c>
      <c r="J147" s="933">
        <v>119</v>
      </c>
      <c r="K147" s="933">
        <f>I147+J147</f>
        <v>49662</v>
      </c>
      <c r="L147" s="933">
        <f>122+50-40</f>
        <v>132</v>
      </c>
      <c r="M147" s="933">
        <f>K147+L147</f>
        <v>49794</v>
      </c>
      <c r="N147" s="933">
        <f>M147</f>
        <v>49794</v>
      </c>
      <c r="O147" s="933">
        <v>0</v>
      </c>
      <c r="P147" s="934">
        <v>0</v>
      </c>
      <c r="Q147" s="935"/>
      <c r="R147" s="949"/>
      <c r="S147" s="937">
        <f t="shared" si="62"/>
        <v>49794</v>
      </c>
    </row>
    <row r="148" spans="1:27" s="107" customFormat="1" ht="30.95" customHeight="1" x14ac:dyDescent="0.2">
      <c r="A148" s="1624"/>
      <c r="B148" s="528" t="s">
        <v>309</v>
      </c>
      <c r="C148" s="938">
        <v>13342</v>
      </c>
      <c r="D148" s="938">
        <v>196</v>
      </c>
      <c r="E148" s="933">
        <f>C148+D148</f>
        <v>13538</v>
      </c>
      <c r="F148" s="933">
        <v>105</v>
      </c>
      <c r="G148" s="933">
        <f t="shared" ref="G148:G157" si="68">E148+F148</f>
        <v>13643</v>
      </c>
      <c r="H148" s="933">
        <v>65</v>
      </c>
      <c r="I148" s="933">
        <f t="shared" si="67"/>
        <v>13708</v>
      </c>
      <c r="J148" s="933">
        <v>32</v>
      </c>
      <c r="K148" s="933">
        <f>I148+J148</f>
        <v>13740</v>
      </c>
      <c r="L148" s="933">
        <f>33+40</f>
        <v>73</v>
      </c>
      <c r="M148" s="933">
        <f>K148+L148</f>
        <v>13813</v>
      </c>
      <c r="N148" s="933">
        <f t="shared" ref="N148:N151" si="69">M148</f>
        <v>13813</v>
      </c>
      <c r="O148" s="938">
        <v>0</v>
      </c>
      <c r="P148" s="939">
        <v>0</v>
      </c>
      <c r="Q148" s="935"/>
      <c r="R148" s="949"/>
      <c r="S148" s="937">
        <f t="shared" si="62"/>
        <v>13813</v>
      </c>
    </row>
    <row r="149" spans="1:27" s="107" customFormat="1" ht="16.899999999999999" customHeight="1" x14ac:dyDescent="0.2">
      <c r="A149" s="1624"/>
      <c r="B149" s="528" t="s">
        <v>133</v>
      </c>
      <c r="C149" s="938">
        <v>102340</v>
      </c>
      <c r="D149" s="938">
        <v>-101</v>
      </c>
      <c r="E149" s="933">
        <f>C149+D149</f>
        <v>102239</v>
      </c>
      <c r="F149" s="933">
        <v>-20</v>
      </c>
      <c r="G149" s="933">
        <f t="shared" si="68"/>
        <v>102219</v>
      </c>
      <c r="H149" s="933">
        <v>-100</v>
      </c>
      <c r="I149" s="933">
        <f t="shared" si="67"/>
        <v>102119</v>
      </c>
      <c r="J149" s="933"/>
      <c r="K149" s="933">
        <f>I149+J149</f>
        <v>102119</v>
      </c>
      <c r="L149" s="933">
        <v>-3800</v>
      </c>
      <c r="M149" s="933">
        <f>K149+L149</f>
        <v>98319</v>
      </c>
      <c r="N149" s="933">
        <f t="shared" si="69"/>
        <v>98319</v>
      </c>
      <c r="O149" s="938">
        <v>0</v>
      </c>
      <c r="P149" s="939">
        <v>0</v>
      </c>
      <c r="Q149" s="935"/>
      <c r="R149" s="949"/>
      <c r="S149" s="937">
        <f t="shared" si="62"/>
        <v>98319</v>
      </c>
    </row>
    <row r="150" spans="1:27" s="107" customFormat="1" ht="16.899999999999999" customHeight="1" x14ac:dyDescent="0.2">
      <c r="A150" s="1624"/>
      <c r="B150" s="528" t="s">
        <v>43</v>
      </c>
      <c r="C150" s="938">
        <v>0</v>
      </c>
      <c r="D150" s="938"/>
      <c r="E150" s="933">
        <f>C150+D150</f>
        <v>0</v>
      </c>
      <c r="F150" s="933"/>
      <c r="G150" s="933">
        <f t="shared" si="68"/>
        <v>0</v>
      </c>
      <c r="H150" s="933"/>
      <c r="I150" s="933">
        <f t="shared" si="67"/>
        <v>0</v>
      </c>
      <c r="J150" s="933"/>
      <c r="K150" s="933">
        <f>I150+J150</f>
        <v>0</v>
      </c>
      <c r="L150" s="933"/>
      <c r="M150" s="933">
        <f>K150+L150</f>
        <v>0</v>
      </c>
      <c r="N150" s="933">
        <f t="shared" si="69"/>
        <v>0</v>
      </c>
      <c r="O150" s="938">
        <v>0</v>
      </c>
      <c r="P150" s="939">
        <v>0</v>
      </c>
      <c r="Q150" s="935"/>
      <c r="R150" s="949"/>
      <c r="S150" s="937">
        <f t="shared" si="62"/>
        <v>0</v>
      </c>
    </row>
    <row r="151" spans="1:27" s="107" customFormat="1" ht="16.899999999999999" customHeight="1" x14ac:dyDescent="0.2">
      <c r="A151" s="1624"/>
      <c r="B151" s="528" t="s">
        <v>368</v>
      </c>
      <c r="C151" s="938">
        <v>0</v>
      </c>
      <c r="D151" s="938"/>
      <c r="E151" s="933">
        <f>C151+D151</f>
        <v>0</v>
      </c>
      <c r="F151" s="933"/>
      <c r="G151" s="933">
        <f t="shared" si="68"/>
        <v>0</v>
      </c>
      <c r="H151" s="933"/>
      <c r="I151" s="933">
        <f t="shared" si="67"/>
        <v>0</v>
      </c>
      <c r="J151" s="933"/>
      <c r="K151" s="933">
        <f>I151+J151</f>
        <v>0</v>
      </c>
      <c r="L151" s="933"/>
      <c r="M151" s="933">
        <f>K151+L151</f>
        <v>0</v>
      </c>
      <c r="N151" s="933">
        <f t="shared" si="69"/>
        <v>0</v>
      </c>
      <c r="O151" s="938">
        <v>0</v>
      </c>
      <c r="P151" s="939">
        <v>0</v>
      </c>
      <c r="Q151" s="935"/>
      <c r="R151" s="949"/>
      <c r="S151" s="937">
        <f t="shared" si="62"/>
        <v>0</v>
      </c>
    </row>
    <row r="152" spans="1:27" s="494" customFormat="1" ht="16.899999999999999" customHeight="1" x14ac:dyDescent="0.2">
      <c r="A152" s="1624"/>
      <c r="B152" s="529" t="s">
        <v>369</v>
      </c>
      <c r="C152" s="940">
        <f t="shared" ref="C152:H152" si="70">SUM(C147:C151)</f>
        <v>163873</v>
      </c>
      <c r="D152" s="940">
        <f t="shared" si="70"/>
        <v>817</v>
      </c>
      <c r="E152" s="940">
        <f t="shared" si="70"/>
        <v>164690</v>
      </c>
      <c r="F152" s="940">
        <f t="shared" si="70"/>
        <v>475</v>
      </c>
      <c r="G152" s="940">
        <f t="shared" si="70"/>
        <v>165165</v>
      </c>
      <c r="H152" s="940">
        <f t="shared" si="70"/>
        <v>205</v>
      </c>
      <c r="I152" s="958">
        <f t="shared" si="67"/>
        <v>165370</v>
      </c>
      <c r="J152" s="958">
        <f>SUM(J147:J151)</f>
        <v>151</v>
      </c>
      <c r="K152" s="958">
        <f>SUM(K147:K151)</f>
        <v>165521</v>
      </c>
      <c r="L152" s="958">
        <f>SUM(L147:L151)</f>
        <v>-3595</v>
      </c>
      <c r="M152" s="958">
        <f>SUM(M147:M151)</f>
        <v>161926</v>
      </c>
      <c r="N152" s="958">
        <f>M152</f>
        <v>161926</v>
      </c>
      <c r="O152" s="940">
        <f>SUM(O147:O151)</f>
        <v>0</v>
      </c>
      <c r="P152" s="941">
        <f>SUM(P147:P151)</f>
        <v>0</v>
      </c>
      <c r="Q152" s="942"/>
      <c r="R152" s="950"/>
      <c r="S152" s="937">
        <f t="shared" si="62"/>
        <v>161926</v>
      </c>
    </row>
    <row r="153" spans="1:27" s="107" customFormat="1" ht="16.899999999999999" customHeight="1" x14ac:dyDescent="0.2">
      <c r="A153" s="1624"/>
      <c r="B153" s="528" t="s">
        <v>370</v>
      </c>
      <c r="C153" s="938">
        <v>0</v>
      </c>
      <c r="D153" s="938">
        <v>101</v>
      </c>
      <c r="E153" s="938">
        <f>C153+D153</f>
        <v>101</v>
      </c>
      <c r="F153" s="933">
        <v>20</v>
      </c>
      <c r="G153" s="933">
        <v>121</v>
      </c>
      <c r="H153" s="933">
        <v>100</v>
      </c>
      <c r="I153" s="933">
        <f t="shared" si="67"/>
        <v>221</v>
      </c>
      <c r="J153" s="933"/>
      <c r="K153" s="933">
        <f>I153+J153</f>
        <v>221</v>
      </c>
      <c r="L153" s="933">
        <v>145</v>
      </c>
      <c r="M153" s="933">
        <f>K153+L153</f>
        <v>366</v>
      </c>
      <c r="N153" s="933">
        <f>M153</f>
        <v>366</v>
      </c>
      <c r="O153" s="938">
        <v>0</v>
      </c>
      <c r="P153" s="939">
        <v>0</v>
      </c>
      <c r="Q153" s="935"/>
      <c r="R153" s="949"/>
      <c r="S153" s="937">
        <f t="shared" si="62"/>
        <v>366</v>
      </c>
    </row>
    <row r="154" spans="1:27" s="107" customFormat="1" ht="16.899999999999999" customHeight="1" x14ac:dyDescent="0.2">
      <c r="A154" s="1624"/>
      <c r="B154" s="528" t="s">
        <v>55</v>
      </c>
      <c r="C154" s="938">
        <v>0</v>
      </c>
      <c r="D154" s="938">
        <v>8000</v>
      </c>
      <c r="E154" s="938">
        <f>C154+D154</f>
        <v>8000</v>
      </c>
      <c r="F154" s="933"/>
      <c r="G154" s="933">
        <f t="shared" si="68"/>
        <v>8000</v>
      </c>
      <c r="H154" s="933"/>
      <c r="I154" s="933">
        <f t="shared" si="67"/>
        <v>8000</v>
      </c>
      <c r="J154" s="933"/>
      <c r="K154" s="933">
        <f>I154+J154</f>
        <v>8000</v>
      </c>
      <c r="L154" s="933">
        <v>-145</v>
      </c>
      <c r="M154" s="933">
        <f>K154+L154</f>
        <v>7855</v>
      </c>
      <c r="N154" s="933">
        <f t="shared" ref="N154:N155" si="71">M154</f>
        <v>7855</v>
      </c>
      <c r="O154" s="938">
        <v>0</v>
      </c>
      <c r="P154" s="939">
        <v>0</v>
      </c>
      <c r="Q154" s="935"/>
      <c r="R154" s="949"/>
      <c r="S154" s="937">
        <f t="shared" si="62"/>
        <v>7855</v>
      </c>
    </row>
    <row r="155" spans="1:27" s="107" customFormat="1" ht="16.899999999999999" customHeight="1" x14ac:dyDescent="0.2">
      <c r="A155" s="1624"/>
      <c r="B155" s="528" t="s">
        <v>371</v>
      </c>
      <c r="C155" s="938">
        <v>0</v>
      </c>
      <c r="D155" s="938"/>
      <c r="E155" s="938">
        <f>C155+D155</f>
        <v>0</v>
      </c>
      <c r="F155" s="933"/>
      <c r="G155" s="933">
        <f t="shared" si="68"/>
        <v>0</v>
      </c>
      <c r="H155" s="933"/>
      <c r="I155" s="933">
        <f t="shared" si="67"/>
        <v>0</v>
      </c>
      <c r="J155" s="933"/>
      <c r="K155" s="933">
        <f>I155+J155</f>
        <v>0</v>
      </c>
      <c r="L155" s="933"/>
      <c r="M155" s="933">
        <f>K155+L155</f>
        <v>0</v>
      </c>
      <c r="N155" s="933">
        <f t="shared" si="71"/>
        <v>0</v>
      </c>
      <c r="O155" s="938">
        <v>0</v>
      </c>
      <c r="P155" s="939">
        <v>0</v>
      </c>
      <c r="Q155" s="935"/>
      <c r="R155" s="949"/>
      <c r="S155" s="937">
        <f t="shared" si="62"/>
        <v>0</v>
      </c>
    </row>
    <row r="156" spans="1:27" s="494" customFormat="1" ht="16.899999999999999" customHeight="1" x14ac:dyDescent="0.2">
      <c r="A156" s="1624"/>
      <c r="B156" s="529" t="s">
        <v>372</v>
      </c>
      <c r="C156" s="940">
        <f t="shared" ref="C156:H156" si="72">SUM(C153:C155)</f>
        <v>0</v>
      </c>
      <c r="D156" s="940">
        <f t="shared" si="72"/>
        <v>8101</v>
      </c>
      <c r="E156" s="940">
        <f t="shared" si="72"/>
        <v>8101</v>
      </c>
      <c r="F156" s="940">
        <f t="shared" si="72"/>
        <v>20</v>
      </c>
      <c r="G156" s="940">
        <f t="shared" si="72"/>
        <v>8121</v>
      </c>
      <c r="H156" s="940">
        <f t="shared" si="72"/>
        <v>100</v>
      </c>
      <c r="I156" s="958">
        <f t="shared" si="67"/>
        <v>8221</v>
      </c>
      <c r="J156" s="958">
        <f>SUM(J153:J155)</f>
        <v>0</v>
      </c>
      <c r="K156" s="958">
        <f>SUM(K153:K155)</f>
        <v>8221</v>
      </c>
      <c r="L156" s="958">
        <f>SUM(L153:L155)</f>
        <v>0</v>
      </c>
      <c r="M156" s="958">
        <f>SUM(M153:M155)</f>
        <v>8221</v>
      </c>
      <c r="N156" s="958">
        <f>M156</f>
        <v>8221</v>
      </c>
      <c r="O156" s="940">
        <f>SUM(O153:O155)</f>
        <v>0</v>
      </c>
      <c r="P156" s="941">
        <f>SUM(P153:P155)</f>
        <v>0</v>
      </c>
      <c r="Q156" s="942"/>
      <c r="R156" s="950"/>
      <c r="S156" s="937">
        <f t="shared" si="62"/>
        <v>8221</v>
      </c>
    </row>
    <row r="157" spans="1:27" s="107" customFormat="1" ht="16.899999999999999" customHeight="1" thickBot="1" x14ac:dyDescent="0.25">
      <c r="A157" s="1624"/>
      <c r="B157" s="695" t="s">
        <v>139</v>
      </c>
      <c r="C157" s="944"/>
      <c r="D157" s="944"/>
      <c r="E157" s="944">
        <f>C157+D157</f>
        <v>0</v>
      </c>
      <c r="F157" s="944"/>
      <c r="G157" s="1418">
        <f t="shared" si="68"/>
        <v>0</v>
      </c>
      <c r="H157" s="1418"/>
      <c r="I157" s="1418">
        <f t="shared" si="67"/>
        <v>0</v>
      </c>
      <c r="J157" s="1418"/>
      <c r="K157" s="1418">
        <f>I157+J157</f>
        <v>0</v>
      </c>
      <c r="L157" s="1418"/>
      <c r="M157" s="1418">
        <f>K157+L157</f>
        <v>0</v>
      </c>
      <c r="N157" s="933">
        <f t="shared" ref="N157" si="73">K157</f>
        <v>0</v>
      </c>
      <c r="O157" s="945"/>
      <c r="P157" s="946"/>
      <c r="Q157" s="935"/>
      <c r="R157" s="949"/>
      <c r="S157" s="937">
        <f t="shared" si="62"/>
        <v>0</v>
      </c>
    </row>
    <row r="158" spans="1:27" s="494" customFormat="1" ht="16.899999999999999" customHeight="1" thickBot="1" x14ac:dyDescent="0.25">
      <c r="A158" s="1625"/>
      <c r="B158" s="1421" t="s">
        <v>134</v>
      </c>
      <c r="C158" s="947">
        <f t="shared" ref="C158:P158" si="74">C152+C156+C157</f>
        <v>163873</v>
      </c>
      <c r="D158" s="947">
        <f t="shared" si="74"/>
        <v>8918</v>
      </c>
      <c r="E158" s="947">
        <f t="shared" si="74"/>
        <v>172791</v>
      </c>
      <c r="F158" s="947">
        <f t="shared" si="74"/>
        <v>495</v>
      </c>
      <c r="G158" s="947">
        <f t="shared" si="74"/>
        <v>173286</v>
      </c>
      <c r="H158" s="947">
        <f>H152+H156+H157</f>
        <v>305</v>
      </c>
      <c r="I158" s="947">
        <f t="shared" si="67"/>
        <v>173591</v>
      </c>
      <c r="J158" s="1477">
        <f>J152+J156+J157</f>
        <v>151</v>
      </c>
      <c r="K158" s="1477">
        <f>K152+K156+K157</f>
        <v>173742</v>
      </c>
      <c r="L158" s="1477">
        <f>L152+L156+L157</f>
        <v>-3595</v>
      </c>
      <c r="M158" s="1477">
        <f>M152+M156+M157</f>
        <v>170147</v>
      </c>
      <c r="N158" s="958">
        <f>M158</f>
        <v>170147</v>
      </c>
      <c r="O158" s="947">
        <f t="shared" si="74"/>
        <v>0</v>
      </c>
      <c r="P158" s="948">
        <f t="shared" si="74"/>
        <v>0</v>
      </c>
      <c r="Q158" s="942"/>
      <c r="R158" s="950"/>
      <c r="S158" s="937">
        <f t="shared" si="62"/>
        <v>170147</v>
      </c>
    </row>
    <row r="159" spans="1:27" s="365" customFormat="1" ht="22.9" customHeight="1" thickBot="1" x14ac:dyDescent="0.25">
      <c r="A159" s="705"/>
      <c r="B159" s="706" t="s">
        <v>288</v>
      </c>
      <c r="C159" s="1621"/>
      <c r="D159" s="1622"/>
      <c r="E159" s="1622"/>
      <c r="F159" s="1622"/>
      <c r="G159" s="1622"/>
      <c r="H159" s="1622"/>
      <c r="I159" s="1622"/>
      <c r="J159" s="1622"/>
      <c r="K159" s="1622"/>
      <c r="L159" s="1622"/>
      <c r="M159" s="1622"/>
      <c r="N159" s="1619"/>
      <c r="O159" s="1619"/>
      <c r="P159" s="1620"/>
      <c r="Q159" s="707"/>
      <c r="R159" s="708"/>
      <c r="S159" s="694"/>
    </row>
    <row r="160" spans="1:27" s="107" customFormat="1" ht="16.899999999999999" customHeight="1" x14ac:dyDescent="0.2">
      <c r="A160" s="1623"/>
      <c r="B160" s="527" t="s">
        <v>41</v>
      </c>
      <c r="C160" s="933">
        <v>24365</v>
      </c>
      <c r="D160" s="933">
        <v>332</v>
      </c>
      <c r="E160" s="933">
        <f>C160+D160</f>
        <v>24697</v>
      </c>
      <c r="F160" s="933">
        <v>184</v>
      </c>
      <c r="G160" s="933">
        <f>E160+F160</f>
        <v>24881</v>
      </c>
      <c r="H160" s="933">
        <v>110</v>
      </c>
      <c r="I160" s="933">
        <f t="shared" ref="I160:I171" si="75">G160+H160</f>
        <v>24991</v>
      </c>
      <c r="J160" s="933">
        <v>54</v>
      </c>
      <c r="K160" s="933">
        <f>I160+J160</f>
        <v>25045</v>
      </c>
      <c r="L160" s="933">
        <f>56+1200</f>
        <v>1256</v>
      </c>
      <c r="M160" s="933">
        <f>K160+L160</f>
        <v>26301</v>
      </c>
      <c r="N160" s="933">
        <f>M160</f>
        <v>26301</v>
      </c>
      <c r="O160" s="933">
        <v>0</v>
      </c>
      <c r="P160" s="934">
        <v>0</v>
      </c>
      <c r="Q160" s="959"/>
      <c r="R160" s="960"/>
      <c r="S160" s="937">
        <f t="shared" si="62"/>
        <v>26301</v>
      </c>
    </row>
    <row r="161" spans="1:19" s="107" customFormat="1" ht="30.95" customHeight="1" x14ac:dyDescent="0.2">
      <c r="A161" s="1624"/>
      <c r="B161" s="528" t="s">
        <v>309</v>
      </c>
      <c r="C161" s="938">
        <v>6694</v>
      </c>
      <c r="D161" s="938">
        <v>90</v>
      </c>
      <c r="E161" s="933">
        <f>C161+D161</f>
        <v>6784</v>
      </c>
      <c r="F161" s="933">
        <v>50</v>
      </c>
      <c r="G161" s="933">
        <f t="shared" ref="G161:G170" si="76">E161+F161</f>
        <v>6834</v>
      </c>
      <c r="H161" s="933">
        <v>30</v>
      </c>
      <c r="I161" s="933">
        <f t="shared" si="75"/>
        <v>6864</v>
      </c>
      <c r="J161" s="933">
        <v>15</v>
      </c>
      <c r="K161" s="933">
        <f>I161+J161</f>
        <v>6879</v>
      </c>
      <c r="L161" s="933">
        <f>15+300</f>
        <v>315</v>
      </c>
      <c r="M161" s="933">
        <f>K161+L161</f>
        <v>7194</v>
      </c>
      <c r="N161" s="933">
        <f t="shared" ref="N161:N170" si="77">M161</f>
        <v>7194</v>
      </c>
      <c r="O161" s="938">
        <v>0</v>
      </c>
      <c r="P161" s="939">
        <v>0</v>
      </c>
      <c r="Q161" s="959"/>
      <c r="R161" s="960"/>
      <c r="S161" s="937">
        <f t="shared" si="62"/>
        <v>7194</v>
      </c>
    </row>
    <row r="162" spans="1:19" s="107" customFormat="1" ht="16.899999999999999" customHeight="1" x14ac:dyDescent="0.2">
      <c r="A162" s="1624"/>
      <c r="B162" s="528" t="s">
        <v>133</v>
      </c>
      <c r="C162" s="938">
        <v>78200</v>
      </c>
      <c r="D162" s="938">
        <v>-48</v>
      </c>
      <c r="E162" s="933">
        <f>C162+D162</f>
        <v>78152</v>
      </c>
      <c r="F162" s="933"/>
      <c r="G162" s="933">
        <f t="shared" si="76"/>
        <v>78152</v>
      </c>
      <c r="H162" s="933"/>
      <c r="I162" s="933">
        <f t="shared" si="75"/>
        <v>78152</v>
      </c>
      <c r="J162" s="933"/>
      <c r="K162" s="933">
        <f>I162+J162</f>
        <v>78152</v>
      </c>
      <c r="L162" s="933">
        <f>1100+3150+3800</f>
        <v>8050</v>
      </c>
      <c r="M162" s="933">
        <f>K162+L162</f>
        <v>86202</v>
      </c>
      <c r="N162" s="933">
        <f t="shared" si="77"/>
        <v>86202</v>
      </c>
      <c r="O162" s="938">
        <v>0</v>
      </c>
      <c r="P162" s="939">
        <v>0</v>
      </c>
      <c r="Q162" s="959"/>
      <c r="R162" s="960"/>
      <c r="S162" s="937">
        <f t="shared" si="62"/>
        <v>86202</v>
      </c>
    </row>
    <row r="163" spans="1:19" s="107" customFormat="1" ht="16.899999999999999" customHeight="1" x14ac:dyDescent="0.2">
      <c r="A163" s="1624"/>
      <c r="B163" s="528" t="s">
        <v>43</v>
      </c>
      <c r="C163" s="938">
        <v>0</v>
      </c>
      <c r="D163" s="938"/>
      <c r="E163" s="933">
        <f>C163+D163</f>
        <v>0</v>
      </c>
      <c r="F163" s="933"/>
      <c r="G163" s="933">
        <f t="shared" si="76"/>
        <v>0</v>
      </c>
      <c r="H163" s="933"/>
      <c r="I163" s="933">
        <f t="shared" si="75"/>
        <v>0</v>
      </c>
      <c r="J163" s="933"/>
      <c r="K163" s="933">
        <f>I163+J163</f>
        <v>0</v>
      </c>
      <c r="L163" s="933"/>
      <c r="M163" s="933">
        <f>K163+L163</f>
        <v>0</v>
      </c>
      <c r="N163" s="933">
        <f t="shared" si="77"/>
        <v>0</v>
      </c>
      <c r="O163" s="938">
        <v>0</v>
      </c>
      <c r="P163" s="939">
        <v>0</v>
      </c>
      <c r="Q163" s="959"/>
      <c r="R163" s="960"/>
      <c r="S163" s="937">
        <f t="shared" si="62"/>
        <v>0</v>
      </c>
    </row>
    <row r="164" spans="1:19" s="107" customFormat="1" ht="16.899999999999999" customHeight="1" x14ac:dyDescent="0.2">
      <c r="A164" s="1624"/>
      <c r="B164" s="528" t="s">
        <v>368</v>
      </c>
      <c r="C164" s="938">
        <v>0</v>
      </c>
      <c r="D164" s="938"/>
      <c r="E164" s="933">
        <f>C164+D164</f>
        <v>0</v>
      </c>
      <c r="F164" s="933"/>
      <c r="G164" s="933">
        <f t="shared" si="76"/>
        <v>0</v>
      </c>
      <c r="H164" s="933"/>
      <c r="I164" s="933">
        <f t="shared" si="75"/>
        <v>0</v>
      </c>
      <c r="J164" s="933"/>
      <c r="K164" s="933">
        <f>I164+J164</f>
        <v>0</v>
      </c>
      <c r="L164" s="933"/>
      <c r="M164" s="933">
        <f>K164+L164</f>
        <v>0</v>
      </c>
      <c r="N164" s="933">
        <f t="shared" si="77"/>
        <v>0</v>
      </c>
      <c r="O164" s="938">
        <v>0</v>
      </c>
      <c r="P164" s="939">
        <v>0</v>
      </c>
      <c r="Q164" s="959"/>
      <c r="R164" s="960"/>
      <c r="S164" s="937">
        <f t="shared" si="62"/>
        <v>0</v>
      </c>
    </row>
    <row r="165" spans="1:19" s="494" customFormat="1" ht="16.899999999999999" customHeight="1" x14ac:dyDescent="0.2">
      <c r="A165" s="1624"/>
      <c r="B165" s="529" t="s">
        <v>369</v>
      </c>
      <c r="C165" s="940">
        <f t="shared" ref="C165:H165" si="78">SUM(C160:C164)</f>
        <v>109259</v>
      </c>
      <c r="D165" s="940">
        <f t="shared" si="78"/>
        <v>374</v>
      </c>
      <c r="E165" s="940">
        <f t="shared" si="78"/>
        <v>109633</v>
      </c>
      <c r="F165" s="940">
        <f t="shared" si="78"/>
        <v>234</v>
      </c>
      <c r="G165" s="940">
        <f t="shared" si="78"/>
        <v>109867</v>
      </c>
      <c r="H165" s="940">
        <f t="shared" si="78"/>
        <v>140</v>
      </c>
      <c r="I165" s="958">
        <f t="shared" si="75"/>
        <v>110007</v>
      </c>
      <c r="J165" s="958">
        <f>SUM(J160:J164)</f>
        <v>69</v>
      </c>
      <c r="K165" s="958">
        <f>SUM(K160:K164)</f>
        <v>110076</v>
      </c>
      <c r="L165" s="958">
        <f>SUM(L160:L164)</f>
        <v>9621</v>
      </c>
      <c r="M165" s="958">
        <f>SUM(M160:M164)</f>
        <v>119697</v>
      </c>
      <c r="N165" s="958">
        <f t="shared" si="77"/>
        <v>119697</v>
      </c>
      <c r="O165" s="940">
        <f>SUM(O160:O164)</f>
        <v>0</v>
      </c>
      <c r="P165" s="941">
        <f>SUM(P160:P164)</f>
        <v>0</v>
      </c>
      <c r="Q165" s="961"/>
      <c r="R165" s="960"/>
      <c r="S165" s="937">
        <f t="shared" si="62"/>
        <v>119697</v>
      </c>
    </row>
    <row r="166" spans="1:19" s="107" customFormat="1" ht="16.899999999999999" customHeight="1" x14ac:dyDescent="0.2">
      <c r="A166" s="1624"/>
      <c r="B166" s="528" t="s">
        <v>370</v>
      </c>
      <c r="C166" s="938">
        <v>0</v>
      </c>
      <c r="D166" s="938">
        <f>7500+48</f>
        <v>7548</v>
      </c>
      <c r="E166" s="938">
        <f>C166+D166</f>
        <v>7548</v>
      </c>
      <c r="F166" s="933"/>
      <c r="G166" s="933">
        <f t="shared" si="76"/>
        <v>7548</v>
      </c>
      <c r="H166" s="933"/>
      <c r="I166" s="933">
        <f t="shared" si="75"/>
        <v>7548</v>
      </c>
      <c r="J166" s="933"/>
      <c r="K166" s="933">
        <f>I166+J166</f>
        <v>7548</v>
      </c>
      <c r="L166" s="933">
        <v>74</v>
      </c>
      <c r="M166" s="933">
        <f>K166+L166</f>
        <v>7622</v>
      </c>
      <c r="N166" s="933">
        <f t="shared" si="77"/>
        <v>7622</v>
      </c>
      <c r="O166" s="938">
        <v>0</v>
      </c>
      <c r="P166" s="939">
        <v>0</v>
      </c>
      <c r="Q166" s="959"/>
      <c r="R166" s="960"/>
      <c r="S166" s="937">
        <f t="shared" si="62"/>
        <v>7622</v>
      </c>
    </row>
    <row r="167" spans="1:19" s="107" customFormat="1" ht="16.899999999999999" customHeight="1" x14ac:dyDescent="0.2">
      <c r="A167" s="1624"/>
      <c r="B167" s="528" t="s">
        <v>55</v>
      </c>
      <c r="C167" s="938">
        <v>0</v>
      </c>
      <c r="D167" s="938"/>
      <c r="E167" s="938">
        <f>C167+D167</f>
        <v>0</v>
      </c>
      <c r="F167" s="933"/>
      <c r="G167" s="933">
        <f t="shared" si="76"/>
        <v>0</v>
      </c>
      <c r="H167" s="933"/>
      <c r="I167" s="933">
        <f t="shared" si="75"/>
        <v>0</v>
      </c>
      <c r="J167" s="933"/>
      <c r="K167" s="933">
        <f>I167+J167</f>
        <v>0</v>
      </c>
      <c r="L167" s="933"/>
      <c r="M167" s="933">
        <f>K167+L167</f>
        <v>0</v>
      </c>
      <c r="N167" s="933">
        <f t="shared" si="77"/>
        <v>0</v>
      </c>
      <c r="O167" s="938">
        <v>0</v>
      </c>
      <c r="P167" s="939">
        <v>0</v>
      </c>
      <c r="Q167" s="959"/>
      <c r="R167" s="960"/>
      <c r="S167" s="937">
        <f t="shared" si="62"/>
        <v>0</v>
      </c>
    </row>
    <row r="168" spans="1:19" s="107" customFormat="1" ht="16.899999999999999" customHeight="1" x14ac:dyDescent="0.2">
      <c r="A168" s="1624"/>
      <c r="B168" s="528" t="s">
        <v>371</v>
      </c>
      <c r="C168" s="938">
        <v>0</v>
      </c>
      <c r="D168" s="938"/>
      <c r="E168" s="938">
        <f>C168+D168</f>
        <v>0</v>
      </c>
      <c r="F168" s="933"/>
      <c r="G168" s="933">
        <f t="shared" si="76"/>
        <v>0</v>
      </c>
      <c r="H168" s="933"/>
      <c r="I168" s="933">
        <f t="shared" si="75"/>
        <v>0</v>
      </c>
      <c r="J168" s="933"/>
      <c r="K168" s="933">
        <f>I168+J168</f>
        <v>0</v>
      </c>
      <c r="L168" s="933"/>
      <c r="M168" s="933">
        <f>K168+L168</f>
        <v>0</v>
      </c>
      <c r="N168" s="933">
        <f t="shared" si="77"/>
        <v>0</v>
      </c>
      <c r="O168" s="938">
        <v>0</v>
      </c>
      <c r="P168" s="939">
        <v>0</v>
      </c>
      <c r="Q168" s="959"/>
      <c r="R168" s="960"/>
      <c r="S168" s="937">
        <f t="shared" si="62"/>
        <v>0</v>
      </c>
    </row>
    <row r="169" spans="1:19" s="494" customFormat="1" ht="16.899999999999999" customHeight="1" x14ac:dyDescent="0.2">
      <c r="A169" s="1624"/>
      <c r="B169" s="529" t="s">
        <v>372</v>
      </c>
      <c r="C169" s="940">
        <f t="shared" ref="C169:H169" si="79">SUM(C166:C168)</f>
        <v>0</v>
      </c>
      <c r="D169" s="940">
        <f t="shared" si="79"/>
        <v>7548</v>
      </c>
      <c r="E169" s="940">
        <f t="shared" si="79"/>
        <v>7548</v>
      </c>
      <c r="F169" s="940">
        <f t="shared" si="79"/>
        <v>0</v>
      </c>
      <c r="G169" s="940">
        <f t="shared" si="79"/>
        <v>7548</v>
      </c>
      <c r="H169" s="940">
        <f t="shared" si="79"/>
        <v>0</v>
      </c>
      <c r="I169" s="958">
        <f t="shared" si="75"/>
        <v>7548</v>
      </c>
      <c r="J169" s="958">
        <f>SUM(J166:J168)</f>
        <v>0</v>
      </c>
      <c r="K169" s="958">
        <f>SUM(K166:K168)</f>
        <v>7548</v>
      </c>
      <c r="L169" s="958">
        <f>SUM(L166:L168)</f>
        <v>74</v>
      </c>
      <c r="M169" s="958">
        <f>SUM(M166:M168)</f>
        <v>7622</v>
      </c>
      <c r="N169" s="958">
        <f t="shared" si="77"/>
        <v>7622</v>
      </c>
      <c r="O169" s="940">
        <f>SUM(O166:O168)</f>
        <v>0</v>
      </c>
      <c r="P169" s="941">
        <f>SUM(P166:P168)</f>
        <v>0</v>
      </c>
      <c r="Q169" s="961"/>
      <c r="R169" s="960"/>
      <c r="S169" s="937">
        <f t="shared" si="62"/>
        <v>7622</v>
      </c>
    </row>
    <row r="170" spans="1:19" s="107" customFormat="1" ht="16.899999999999999" customHeight="1" thickBot="1" x14ac:dyDescent="0.25">
      <c r="A170" s="1624"/>
      <c r="B170" s="695" t="s">
        <v>139</v>
      </c>
      <c r="C170" s="944"/>
      <c r="D170" s="944"/>
      <c r="E170" s="944">
        <f>C170+D170</f>
        <v>0</v>
      </c>
      <c r="F170" s="944"/>
      <c r="G170" s="1418">
        <f t="shared" si="76"/>
        <v>0</v>
      </c>
      <c r="H170" s="1418"/>
      <c r="I170" s="1418">
        <f t="shared" si="75"/>
        <v>0</v>
      </c>
      <c r="J170" s="1418"/>
      <c r="K170" s="1418">
        <f>I170+J170</f>
        <v>0</v>
      </c>
      <c r="L170" s="1418"/>
      <c r="M170" s="1418">
        <f>K170+L170</f>
        <v>0</v>
      </c>
      <c r="N170" s="933">
        <f t="shared" si="77"/>
        <v>0</v>
      </c>
      <c r="O170" s="945"/>
      <c r="P170" s="946"/>
      <c r="Q170" s="959"/>
      <c r="R170" s="960"/>
      <c r="S170" s="937">
        <f t="shared" si="62"/>
        <v>0</v>
      </c>
    </row>
    <row r="171" spans="1:19" s="494" customFormat="1" ht="16.899999999999999" customHeight="1" thickBot="1" x14ac:dyDescent="0.25">
      <c r="A171" s="1625"/>
      <c r="B171" s="1421" t="s">
        <v>134</v>
      </c>
      <c r="C171" s="947">
        <f t="shared" ref="C171:P171" si="80">C165+C169+C170</f>
        <v>109259</v>
      </c>
      <c r="D171" s="947">
        <f t="shared" si="80"/>
        <v>7922</v>
      </c>
      <c r="E171" s="947">
        <f t="shared" si="80"/>
        <v>117181</v>
      </c>
      <c r="F171" s="947">
        <f t="shared" si="80"/>
        <v>234</v>
      </c>
      <c r="G171" s="947">
        <f t="shared" si="80"/>
        <v>117415</v>
      </c>
      <c r="H171" s="947">
        <f>H165+H169+H170</f>
        <v>140</v>
      </c>
      <c r="I171" s="947">
        <f t="shared" si="75"/>
        <v>117555</v>
      </c>
      <c r="J171" s="947">
        <f>J165+J169+J170</f>
        <v>69</v>
      </c>
      <c r="K171" s="947">
        <f>K165+K169+K170</f>
        <v>117624</v>
      </c>
      <c r="L171" s="947">
        <f>L165+L169+L170</f>
        <v>9695</v>
      </c>
      <c r="M171" s="947">
        <f>M165+M169+M170</f>
        <v>127319</v>
      </c>
      <c r="N171" s="947">
        <f>M171</f>
        <v>127319</v>
      </c>
      <c r="O171" s="947">
        <f t="shared" si="80"/>
        <v>0</v>
      </c>
      <c r="P171" s="948">
        <f t="shared" si="80"/>
        <v>0</v>
      </c>
      <c r="Q171" s="961"/>
      <c r="R171" s="960"/>
      <c r="S171" s="937">
        <f t="shared" si="62"/>
        <v>127319</v>
      </c>
    </row>
    <row r="172" spans="1:19" s="365" customFormat="1" ht="25.5" customHeight="1" thickBot="1" x14ac:dyDescent="0.25">
      <c r="A172" s="1639" t="s">
        <v>136</v>
      </c>
      <c r="B172" s="1640"/>
      <c r="C172" s="1615"/>
      <c r="D172" s="1615"/>
      <c r="E172" s="1615"/>
      <c r="F172" s="1615"/>
      <c r="G172" s="1615"/>
      <c r="H172" s="1615"/>
      <c r="I172" s="1615"/>
      <c r="J172" s="1615"/>
      <c r="K172" s="1615"/>
      <c r="L172" s="1615"/>
      <c r="M172" s="1615"/>
      <c r="N172" s="1615"/>
      <c r="O172" s="1615"/>
      <c r="P172" s="1616"/>
      <c r="Q172" s="709"/>
      <c r="R172" s="710"/>
      <c r="S172" s="694"/>
    </row>
    <row r="173" spans="1:19" s="107" customFormat="1" ht="15.75" x14ac:dyDescent="0.2">
      <c r="A173" s="711"/>
      <c r="B173" s="527" t="s">
        <v>41</v>
      </c>
      <c r="C173" s="933">
        <f t="shared" ref="C173:F178" si="81">SUM(C4+C17+C30+C43+C56+C69+C82)</f>
        <v>637374</v>
      </c>
      <c r="D173" s="933">
        <f t="shared" si="81"/>
        <v>18345</v>
      </c>
      <c r="E173" s="933">
        <f t="shared" si="81"/>
        <v>655719</v>
      </c>
      <c r="F173" s="933">
        <f t="shared" si="81"/>
        <v>17423</v>
      </c>
      <c r="G173" s="933">
        <f>E173+F173</f>
        <v>673142</v>
      </c>
      <c r="H173" s="933">
        <f>H4+H17+H30+H43+H56+H69+H82</f>
        <v>19041</v>
      </c>
      <c r="I173" s="933">
        <f>I4+I17+I30+I43+I56+I69+I82</f>
        <v>692183</v>
      </c>
      <c r="J173" s="933">
        <f>J4+J17+J30+J43+J56+J69+J82</f>
        <v>10550</v>
      </c>
      <c r="K173" s="933">
        <f>I173+J173</f>
        <v>702733</v>
      </c>
      <c r="L173" s="933">
        <f>L4+L17+L30+L43+L56+L69+L82</f>
        <v>20730</v>
      </c>
      <c r="M173" s="933">
        <f>K173+L173</f>
        <v>723463</v>
      </c>
      <c r="N173" s="933">
        <f>SUM(N4+N17+N30+N43+N56+N69+N82)</f>
        <v>721647</v>
      </c>
      <c r="O173" s="962">
        <f>SUM(O4+O17+O30+O43+O56+O69+O82)</f>
        <v>1816</v>
      </c>
      <c r="P173" s="963">
        <f>SUM(P4+P17+P30+P43+P56+P69+P82)</f>
        <v>0</v>
      </c>
      <c r="Q173" s="959"/>
      <c r="R173" s="960"/>
      <c r="S173" s="937">
        <f t="shared" si="62"/>
        <v>723463</v>
      </c>
    </row>
    <row r="174" spans="1:19" s="107" customFormat="1" ht="30.95" customHeight="1" x14ac:dyDescent="0.2">
      <c r="A174" s="712"/>
      <c r="B174" s="528" t="s">
        <v>309</v>
      </c>
      <c r="C174" s="938">
        <f t="shared" si="81"/>
        <v>181068</v>
      </c>
      <c r="D174" s="938">
        <f t="shared" si="81"/>
        <v>3712</v>
      </c>
      <c r="E174" s="938">
        <f t="shared" si="81"/>
        <v>184780</v>
      </c>
      <c r="F174" s="938">
        <f t="shared" si="81"/>
        <v>3299</v>
      </c>
      <c r="G174" s="933">
        <f t="shared" ref="G174:G183" si="82">E174+F174</f>
        <v>188079</v>
      </c>
      <c r="H174" s="933">
        <f t="shared" ref="H174:I184" si="83">H5+H18+H31+H44+H57+H70+H83</f>
        <v>3051</v>
      </c>
      <c r="I174" s="933">
        <f t="shared" si="83"/>
        <v>191130</v>
      </c>
      <c r="J174" s="933">
        <f>J5+J18+J31+J44+J57+J70+J83</f>
        <v>836</v>
      </c>
      <c r="K174" s="933">
        <f>I174+J174</f>
        <v>191966</v>
      </c>
      <c r="L174" s="933">
        <f>L5+L18+L31+L44+L57+L70+L83</f>
        <v>2128</v>
      </c>
      <c r="M174" s="933">
        <f>K174+L174</f>
        <v>194094</v>
      </c>
      <c r="N174" s="938">
        <f t="shared" ref="N174:P183" si="84">SUM(N5+N18+N31+N44+N57+N70+N83)</f>
        <v>183908</v>
      </c>
      <c r="O174" s="964">
        <f t="shared" si="84"/>
        <v>533</v>
      </c>
      <c r="P174" s="965">
        <f t="shared" si="84"/>
        <v>0</v>
      </c>
      <c r="Q174" s="959"/>
      <c r="R174" s="960"/>
      <c r="S174" s="937">
        <f t="shared" si="62"/>
        <v>184441</v>
      </c>
    </row>
    <row r="175" spans="1:19" s="107" customFormat="1" ht="16.899999999999999" customHeight="1" x14ac:dyDescent="0.2">
      <c r="A175" s="713"/>
      <c r="B175" s="528" t="s">
        <v>133</v>
      </c>
      <c r="C175" s="938">
        <f t="shared" si="81"/>
        <v>420060</v>
      </c>
      <c r="D175" s="938">
        <f t="shared" si="81"/>
        <v>12454</v>
      </c>
      <c r="E175" s="938">
        <f t="shared" si="81"/>
        <v>432514</v>
      </c>
      <c r="F175" s="938">
        <f t="shared" si="81"/>
        <v>26020</v>
      </c>
      <c r="G175" s="933">
        <f t="shared" si="82"/>
        <v>458534</v>
      </c>
      <c r="H175" s="933">
        <f t="shared" si="83"/>
        <v>7545</v>
      </c>
      <c r="I175" s="933">
        <f t="shared" si="83"/>
        <v>466079</v>
      </c>
      <c r="J175" s="933">
        <f>J6+J19+J32+J45+J58+J71+J84</f>
        <v>7138</v>
      </c>
      <c r="K175" s="933">
        <f>I175+J175</f>
        <v>473217</v>
      </c>
      <c r="L175" s="933">
        <f>L6+L19+L32+L45+L58+L71+L84</f>
        <v>18311</v>
      </c>
      <c r="M175" s="933">
        <f>K175+L175</f>
        <v>491528</v>
      </c>
      <c r="N175" s="938">
        <f t="shared" si="84"/>
        <v>484850</v>
      </c>
      <c r="O175" s="964">
        <f t="shared" si="84"/>
        <v>6678</v>
      </c>
      <c r="P175" s="965">
        <f t="shared" si="84"/>
        <v>0</v>
      </c>
      <c r="Q175" s="959"/>
      <c r="R175" s="960"/>
      <c r="S175" s="937">
        <f t="shared" si="62"/>
        <v>491528</v>
      </c>
    </row>
    <row r="176" spans="1:19" s="107" customFormat="1" ht="16.899999999999999" customHeight="1" x14ac:dyDescent="0.2">
      <c r="A176" s="714"/>
      <c r="B176" s="528" t="s">
        <v>43</v>
      </c>
      <c r="C176" s="938">
        <f t="shared" si="81"/>
        <v>0</v>
      </c>
      <c r="D176" s="938">
        <f t="shared" si="81"/>
        <v>0</v>
      </c>
      <c r="E176" s="938">
        <f t="shared" si="81"/>
        <v>0</v>
      </c>
      <c r="F176" s="938">
        <f t="shared" si="81"/>
        <v>0</v>
      </c>
      <c r="G176" s="933">
        <f t="shared" si="82"/>
        <v>0</v>
      </c>
      <c r="H176" s="933">
        <f t="shared" si="83"/>
        <v>0</v>
      </c>
      <c r="I176" s="933">
        <f t="shared" si="83"/>
        <v>0</v>
      </c>
      <c r="J176" s="933">
        <f>J7+J20+J33+J46+J59+J72+J85</f>
        <v>0</v>
      </c>
      <c r="K176" s="933">
        <f>I176+J176</f>
        <v>0</v>
      </c>
      <c r="L176" s="933">
        <f>L7+L20+L33+L46+L59+L72+L85</f>
        <v>0</v>
      </c>
      <c r="M176" s="933">
        <f>K176+L176</f>
        <v>0</v>
      </c>
      <c r="N176" s="938">
        <f t="shared" si="84"/>
        <v>0</v>
      </c>
      <c r="O176" s="964">
        <f t="shared" si="84"/>
        <v>0</v>
      </c>
      <c r="P176" s="965">
        <f t="shared" si="84"/>
        <v>0</v>
      </c>
      <c r="Q176" s="959"/>
      <c r="R176" s="960"/>
      <c r="S176" s="937">
        <f t="shared" si="62"/>
        <v>0</v>
      </c>
    </row>
    <row r="177" spans="1:19" s="107" customFormat="1" ht="16.899999999999999" customHeight="1" x14ac:dyDescent="0.2">
      <c r="A177" s="713"/>
      <c r="B177" s="528" t="s">
        <v>368</v>
      </c>
      <c r="C177" s="938">
        <f t="shared" si="81"/>
        <v>38100</v>
      </c>
      <c r="D177" s="938">
        <f t="shared" si="81"/>
        <v>-38100</v>
      </c>
      <c r="E177" s="938">
        <f t="shared" si="81"/>
        <v>0</v>
      </c>
      <c r="F177" s="938">
        <f t="shared" si="81"/>
        <v>0</v>
      </c>
      <c r="G177" s="933">
        <f t="shared" si="82"/>
        <v>0</v>
      </c>
      <c r="H177" s="933">
        <f t="shared" si="83"/>
        <v>1444</v>
      </c>
      <c r="I177" s="933">
        <f t="shared" si="83"/>
        <v>1444</v>
      </c>
      <c r="J177" s="933">
        <f>J8+J21+J34+J47+J60+J73+J86</f>
        <v>0</v>
      </c>
      <c r="K177" s="933">
        <f>I177+J177</f>
        <v>1444</v>
      </c>
      <c r="L177" s="933">
        <f>L8+L21+L34+L47+L60+L73+L86</f>
        <v>0</v>
      </c>
      <c r="M177" s="933">
        <f>K177+L177</f>
        <v>1444</v>
      </c>
      <c r="N177" s="938">
        <v>0</v>
      </c>
      <c r="O177" s="964">
        <f t="shared" si="84"/>
        <v>0</v>
      </c>
      <c r="P177" s="965">
        <f t="shared" si="84"/>
        <v>0</v>
      </c>
      <c r="Q177" s="959"/>
      <c r="R177" s="960"/>
      <c r="S177" s="937">
        <f t="shared" si="62"/>
        <v>0</v>
      </c>
    </row>
    <row r="178" spans="1:19" s="494" customFormat="1" ht="16.899999999999999" customHeight="1" x14ac:dyDescent="0.2">
      <c r="A178" s="713"/>
      <c r="B178" s="529" t="s">
        <v>369</v>
      </c>
      <c r="C178" s="940">
        <f t="shared" si="81"/>
        <v>1276602</v>
      </c>
      <c r="D178" s="940">
        <f t="shared" si="81"/>
        <v>-3589</v>
      </c>
      <c r="E178" s="940">
        <f t="shared" si="81"/>
        <v>1273013</v>
      </c>
      <c r="F178" s="940">
        <f t="shared" si="81"/>
        <v>46742</v>
      </c>
      <c r="G178" s="940">
        <f>SUM(G9+G22+G35+G48+G61+G74+G87)</f>
        <v>1319755</v>
      </c>
      <c r="H178" s="958">
        <f t="shared" si="83"/>
        <v>31081</v>
      </c>
      <c r="I178" s="958">
        <f t="shared" si="83"/>
        <v>1350836</v>
      </c>
      <c r="J178" s="958">
        <f>SUM(J173:J177)</f>
        <v>18524</v>
      </c>
      <c r="K178" s="958">
        <f>SUM(K173:K177)</f>
        <v>1369360</v>
      </c>
      <c r="L178" s="958">
        <f>SUM(L173:L177)</f>
        <v>41169</v>
      </c>
      <c r="M178" s="958">
        <f>SUM(M173:M177)</f>
        <v>1410529</v>
      </c>
      <c r="N178" s="940">
        <f t="shared" si="84"/>
        <v>1401502</v>
      </c>
      <c r="O178" s="966">
        <f t="shared" si="84"/>
        <v>9027</v>
      </c>
      <c r="P178" s="967">
        <f t="shared" si="84"/>
        <v>0</v>
      </c>
      <c r="Q178" s="961"/>
      <c r="R178" s="960"/>
      <c r="S178" s="937">
        <f t="shared" si="62"/>
        <v>1410529</v>
      </c>
    </row>
    <row r="179" spans="1:19" s="107" customFormat="1" ht="16.899999999999999" customHeight="1" x14ac:dyDescent="0.2">
      <c r="A179" s="714"/>
      <c r="B179" s="528" t="s">
        <v>370</v>
      </c>
      <c r="C179" s="938">
        <f>SUM(C10+C23+C36+C49+C62+C75+C88)</f>
        <v>0</v>
      </c>
      <c r="D179" s="938">
        <f t="shared" ref="D179:F180" si="85">D10+D23+D36+D49+D62+D75+D88</f>
        <v>31973</v>
      </c>
      <c r="E179" s="938">
        <f t="shared" si="85"/>
        <v>31973</v>
      </c>
      <c r="F179" s="938">
        <f t="shared" si="85"/>
        <v>236</v>
      </c>
      <c r="G179" s="933">
        <f t="shared" si="82"/>
        <v>32209</v>
      </c>
      <c r="H179" s="933">
        <f t="shared" si="83"/>
        <v>926</v>
      </c>
      <c r="I179" s="933">
        <f t="shared" si="83"/>
        <v>33135</v>
      </c>
      <c r="J179" s="933">
        <f>J10+J23+J36+J49+J62+J75+J88</f>
        <v>1606</v>
      </c>
      <c r="K179" s="933">
        <f>I179+J179</f>
        <v>34741</v>
      </c>
      <c r="L179" s="933">
        <f>L10+L23+L36+L49+L62+L75+L88</f>
        <v>-3388</v>
      </c>
      <c r="M179" s="933">
        <f>K179+L179</f>
        <v>31353</v>
      </c>
      <c r="N179" s="938">
        <f t="shared" si="84"/>
        <v>31006</v>
      </c>
      <c r="O179" s="964">
        <f t="shared" si="84"/>
        <v>347</v>
      </c>
      <c r="P179" s="965">
        <f t="shared" si="84"/>
        <v>0</v>
      </c>
      <c r="Q179" s="959"/>
      <c r="R179" s="960"/>
      <c r="S179" s="937">
        <f t="shared" si="62"/>
        <v>31353</v>
      </c>
    </row>
    <row r="180" spans="1:19" s="107" customFormat="1" ht="16.899999999999999" customHeight="1" x14ac:dyDescent="0.2">
      <c r="A180" s="712"/>
      <c r="B180" s="528" t="s">
        <v>55</v>
      </c>
      <c r="C180" s="938">
        <f>SUM(C11+C24+C37+C50+C63+C76+C89)</f>
        <v>0</v>
      </c>
      <c r="D180" s="938">
        <f t="shared" si="85"/>
        <v>26074</v>
      </c>
      <c r="E180" s="938">
        <f t="shared" si="85"/>
        <v>26074</v>
      </c>
      <c r="F180" s="938">
        <f t="shared" si="85"/>
        <v>-216</v>
      </c>
      <c r="G180" s="933">
        <f t="shared" si="82"/>
        <v>25858</v>
      </c>
      <c r="H180" s="933">
        <f t="shared" si="83"/>
        <v>-126</v>
      </c>
      <c r="I180" s="933">
        <f t="shared" si="83"/>
        <v>25732</v>
      </c>
      <c r="J180" s="933">
        <f>J11+J24+J37+J50+J63+J76+J89</f>
        <v>0</v>
      </c>
      <c r="K180" s="933">
        <f>I180+J180</f>
        <v>25732</v>
      </c>
      <c r="L180" s="933">
        <f>L11+L24+L37+L50+L63+L76+L89</f>
        <v>-1028</v>
      </c>
      <c r="M180" s="933">
        <f>K180+L180</f>
        <v>24704</v>
      </c>
      <c r="N180" s="938">
        <f t="shared" si="84"/>
        <v>20904</v>
      </c>
      <c r="O180" s="964">
        <f t="shared" si="84"/>
        <v>3800</v>
      </c>
      <c r="P180" s="965">
        <f t="shared" si="84"/>
        <v>0</v>
      </c>
      <c r="Q180" s="959"/>
      <c r="R180" s="960"/>
      <c r="S180" s="937">
        <f t="shared" si="62"/>
        <v>24704</v>
      </c>
    </row>
    <row r="181" spans="1:19" s="107" customFormat="1" ht="16.899999999999999" customHeight="1" x14ac:dyDescent="0.2">
      <c r="A181" s="713"/>
      <c r="B181" s="528" t="s">
        <v>371</v>
      </c>
      <c r="C181" s="938">
        <f>SUM(C12+C25+C38+C51+C64+C77+C90)</f>
        <v>0</v>
      </c>
      <c r="D181" s="938">
        <f t="shared" ref="D181:F183" si="86">SUM(D12+D25+D38+D51+D64+D77+D90)</f>
        <v>0</v>
      </c>
      <c r="E181" s="938">
        <f t="shared" si="86"/>
        <v>0</v>
      </c>
      <c r="F181" s="938">
        <f t="shared" si="86"/>
        <v>0</v>
      </c>
      <c r="G181" s="933">
        <f t="shared" si="82"/>
        <v>0</v>
      </c>
      <c r="H181" s="933">
        <f t="shared" si="83"/>
        <v>0</v>
      </c>
      <c r="I181" s="933">
        <f t="shared" si="83"/>
        <v>0</v>
      </c>
      <c r="J181" s="933">
        <f>J12+J25+J38+J51+J64+J77+J90</f>
        <v>0</v>
      </c>
      <c r="K181" s="933">
        <f>I181+J181</f>
        <v>0</v>
      </c>
      <c r="L181" s="933">
        <f>L12+L25+L38+L51+L64+L77+L90</f>
        <v>0</v>
      </c>
      <c r="M181" s="933">
        <f>K181+L181</f>
        <v>0</v>
      </c>
      <c r="N181" s="938">
        <f t="shared" si="84"/>
        <v>0</v>
      </c>
      <c r="O181" s="964">
        <f t="shared" si="84"/>
        <v>0</v>
      </c>
      <c r="P181" s="965">
        <f t="shared" si="84"/>
        <v>0</v>
      </c>
      <c r="Q181" s="959"/>
      <c r="R181" s="960"/>
      <c r="S181" s="937">
        <f t="shared" si="62"/>
        <v>0</v>
      </c>
    </row>
    <row r="182" spans="1:19" s="494" customFormat="1" ht="16.899999999999999" customHeight="1" x14ac:dyDescent="0.2">
      <c r="A182" s="714"/>
      <c r="B182" s="529" t="s">
        <v>372</v>
      </c>
      <c r="C182" s="940">
        <f>SUM(C13+C26+C39+C52+C65+C78+C91)</f>
        <v>0</v>
      </c>
      <c r="D182" s="940">
        <f t="shared" si="86"/>
        <v>58047</v>
      </c>
      <c r="E182" s="940">
        <f t="shared" si="86"/>
        <v>58047</v>
      </c>
      <c r="F182" s="940">
        <f t="shared" si="86"/>
        <v>20</v>
      </c>
      <c r="G182" s="940">
        <f>SUM(G13+G26+G39+G52+G65+G78+G91)</f>
        <v>58067</v>
      </c>
      <c r="H182" s="958">
        <f t="shared" si="83"/>
        <v>800</v>
      </c>
      <c r="I182" s="958">
        <f t="shared" si="83"/>
        <v>58867</v>
      </c>
      <c r="J182" s="958">
        <f>SUM(J179:J181)</f>
        <v>1606</v>
      </c>
      <c r="K182" s="958">
        <f>SUM(K179:K181)</f>
        <v>60473</v>
      </c>
      <c r="L182" s="958">
        <f>SUM(L179:L181)</f>
        <v>-4416</v>
      </c>
      <c r="M182" s="958">
        <f>SUM(M179:M181)</f>
        <v>56057</v>
      </c>
      <c r="N182" s="940">
        <f t="shared" si="84"/>
        <v>51910</v>
      </c>
      <c r="O182" s="966">
        <f t="shared" si="84"/>
        <v>4147</v>
      </c>
      <c r="P182" s="967">
        <f t="shared" si="84"/>
        <v>0</v>
      </c>
      <c r="Q182" s="961"/>
      <c r="R182" s="960"/>
      <c r="S182" s="937">
        <f t="shared" si="62"/>
        <v>56057</v>
      </c>
    </row>
    <row r="183" spans="1:19" s="107" customFormat="1" ht="16.899999999999999" customHeight="1" thickBot="1" x14ac:dyDescent="0.25">
      <c r="A183" s="712"/>
      <c r="B183" s="695" t="s">
        <v>139</v>
      </c>
      <c r="C183" s="944">
        <f>SUM(C14+C27+C40+C53+C66+C79+C92)</f>
        <v>0</v>
      </c>
      <c r="D183" s="944">
        <f t="shared" si="86"/>
        <v>0</v>
      </c>
      <c r="E183" s="944">
        <f t="shared" si="86"/>
        <v>0</v>
      </c>
      <c r="F183" s="944">
        <f t="shared" si="86"/>
        <v>0</v>
      </c>
      <c r="G183" s="1418">
        <f t="shared" si="82"/>
        <v>0</v>
      </c>
      <c r="H183" s="1418">
        <f t="shared" si="83"/>
        <v>0</v>
      </c>
      <c r="I183" s="1418">
        <f t="shared" si="83"/>
        <v>0</v>
      </c>
      <c r="J183" s="1418"/>
      <c r="K183" s="1418">
        <f>I183+J183</f>
        <v>0</v>
      </c>
      <c r="L183" s="1418"/>
      <c r="M183" s="1418">
        <f>K183+L183</f>
        <v>0</v>
      </c>
      <c r="N183" s="944">
        <f t="shared" si="84"/>
        <v>0</v>
      </c>
      <c r="O183" s="968">
        <f t="shared" si="84"/>
        <v>0</v>
      </c>
      <c r="P183" s="969">
        <f t="shared" si="84"/>
        <v>0</v>
      </c>
      <c r="Q183" s="959"/>
      <c r="R183" s="960"/>
      <c r="S183" s="937">
        <f t="shared" si="62"/>
        <v>0</v>
      </c>
    </row>
    <row r="184" spans="1:19" s="365" customFormat="1" ht="32.450000000000003" customHeight="1" thickBot="1" x14ac:dyDescent="0.25">
      <c r="A184" s="1626" t="s">
        <v>134</v>
      </c>
      <c r="B184" s="1627"/>
      <c r="C184" s="970">
        <f t="shared" ref="C184:P184" si="87">C178+C182+C183</f>
        <v>1276602</v>
      </c>
      <c r="D184" s="971">
        <f t="shared" si="87"/>
        <v>54458</v>
      </c>
      <c r="E184" s="971">
        <f t="shared" si="87"/>
        <v>1331060</v>
      </c>
      <c r="F184" s="971">
        <f t="shared" si="87"/>
        <v>46762</v>
      </c>
      <c r="G184" s="971">
        <f t="shared" si="87"/>
        <v>1377822</v>
      </c>
      <c r="H184" s="1419">
        <f>H15+H28+H41+H54+H67+H80+H93</f>
        <v>31881</v>
      </c>
      <c r="I184" s="1419">
        <f t="shared" si="83"/>
        <v>1409703</v>
      </c>
      <c r="J184" s="1419">
        <f>J15+J28+J41+J54+J67+J80+J93</f>
        <v>20130</v>
      </c>
      <c r="K184" s="1419">
        <f>K15+K28+K41+K54+K67+K80+K93</f>
        <v>1429833</v>
      </c>
      <c r="L184" s="1419">
        <f>L15+L28+L41+L54+L67+L80+L93</f>
        <v>36753</v>
      </c>
      <c r="M184" s="1419">
        <f>M15+M28+M41+M54+M67+M80+M93</f>
        <v>1466586</v>
      </c>
      <c r="N184" s="972">
        <f t="shared" si="87"/>
        <v>1453412</v>
      </c>
      <c r="O184" s="972">
        <f t="shared" si="87"/>
        <v>13174</v>
      </c>
      <c r="P184" s="973">
        <f t="shared" si="87"/>
        <v>0</v>
      </c>
      <c r="Q184" s="974"/>
      <c r="R184" s="975"/>
      <c r="S184" s="937">
        <f t="shared" si="62"/>
        <v>1466586</v>
      </c>
    </row>
    <row r="186" spans="1:19" x14ac:dyDescent="0.2">
      <c r="B186" s="2" t="s">
        <v>99</v>
      </c>
    </row>
    <row r="188" spans="1:19" x14ac:dyDescent="0.2">
      <c r="B188" s="2" t="s">
        <v>99</v>
      </c>
    </row>
    <row r="189" spans="1:19" x14ac:dyDescent="0.2">
      <c r="B189" s="2" t="s">
        <v>99</v>
      </c>
      <c r="I189" s="1474" t="s">
        <v>99</v>
      </c>
      <c r="J189" s="1474"/>
      <c r="K189" s="1474"/>
      <c r="L189" s="1474"/>
      <c r="M189" s="1474"/>
    </row>
    <row r="190" spans="1:19" x14ac:dyDescent="0.2">
      <c r="B190" s="2" t="s">
        <v>99</v>
      </c>
    </row>
  </sheetData>
  <mergeCells count="29">
    <mergeCell ref="A147:A158"/>
    <mergeCell ref="A160:A171"/>
    <mergeCell ref="A184:B184"/>
    <mergeCell ref="A1:P1"/>
    <mergeCell ref="B81:P81"/>
    <mergeCell ref="B68:P68"/>
    <mergeCell ref="B55:P55"/>
    <mergeCell ref="B42:P42"/>
    <mergeCell ref="C29:P29"/>
    <mergeCell ref="N3:P3"/>
    <mergeCell ref="B16:P16"/>
    <mergeCell ref="C159:P159"/>
    <mergeCell ref="A172:P172"/>
    <mergeCell ref="B94:P94"/>
    <mergeCell ref="B107:P107"/>
    <mergeCell ref="A43:A54"/>
    <mergeCell ref="B120:P120"/>
    <mergeCell ref="C133:P133"/>
    <mergeCell ref="C146:P146"/>
    <mergeCell ref="A108:A119"/>
    <mergeCell ref="A121:A132"/>
    <mergeCell ref="A134:A145"/>
    <mergeCell ref="A4:A15"/>
    <mergeCell ref="A17:A28"/>
    <mergeCell ref="A30:A41"/>
    <mergeCell ref="A82:A93"/>
    <mergeCell ref="A95:A106"/>
    <mergeCell ref="A56:A67"/>
    <mergeCell ref="A69:A80"/>
  </mergeCells>
  <phoneticPr fontId="5" type="noConversion"/>
  <printOptions horizontalCentered="1"/>
  <pageMargins left="0.59055118110236227" right="0.59055118110236227" top="0.6692913385826772" bottom="0.6692913385826772" header="0.39370078740157483" footer="0.39370078740157483"/>
  <pageSetup paperSize="9" scale="57" fitToHeight="3" orientation="portrait" r:id="rId1"/>
  <headerFooter alignWithMargins="0">
    <oddHeader>&amp;L&amp;"Arial,Dőlt"&amp;11 7&amp;U. melléklet a 3/2014. (II.15.) önkormányzati rendelethez</oddHeader>
    <oddFooter>&amp;C&amp;11 Nagykőrös Város Önkormányzat 2014. évi költségvetési rendeletének V. sz. módosítás&amp;9a</oddFooter>
  </headerFooter>
  <rowBreaks count="2" manualBreakCount="2">
    <brk id="67" max="9" man="1"/>
    <brk id="132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J203"/>
  <sheetViews>
    <sheetView view="pageLayout" topLeftCell="B1" zoomScaleNormal="100" zoomScaleSheetLayoutView="85" workbookViewId="0">
      <selection activeCell="B3" sqref="B3:N3"/>
    </sheetView>
  </sheetViews>
  <sheetFormatPr defaultColWidth="12.7109375" defaultRowHeight="19.5" x14ac:dyDescent="0.2"/>
  <cols>
    <col min="1" max="1" width="6.7109375" style="773" customWidth="1"/>
    <col min="2" max="2" width="53" style="774" customWidth="1"/>
    <col min="3" max="3" width="17" style="775" customWidth="1"/>
    <col min="4" max="8" width="17" style="775" hidden="1" customWidth="1"/>
    <col min="9" max="11" width="17" style="775" customWidth="1"/>
    <col min="12" max="13" width="17" style="776" customWidth="1"/>
    <col min="14" max="14" width="13.7109375" style="776" customWidth="1"/>
    <col min="15" max="15" width="18.85546875" style="777" customWidth="1"/>
    <col min="16" max="16384" width="12.7109375" style="776"/>
  </cols>
  <sheetData>
    <row r="1" spans="1:15" s="723" customFormat="1" ht="39" customHeight="1" thickBot="1" x14ac:dyDescent="0.25">
      <c r="A1" s="1674" t="s">
        <v>461</v>
      </c>
      <c r="B1" s="1674"/>
      <c r="C1" s="1675"/>
      <c r="D1" s="1675"/>
      <c r="E1" s="1675"/>
      <c r="F1" s="1675"/>
      <c r="G1" s="1675"/>
      <c r="H1" s="1675"/>
      <c r="I1" s="1675"/>
      <c r="J1" s="1675"/>
      <c r="K1" s="1675"/>
      <c r="L1" s="1675"/>
      <c r="M1" s="1675"/>
      <c r="N1" s="1675"/>
      <c r="O1" s="722"/>
    </row>
    <row r="2" spans="1:15" s="721" customFormat="1" ht="54.75" customHeight="1" thickBot="1" x14ac:dyDescent="0.25">
      <c r="A2" s="716" t="s">
        <v>225</v>
      </c>
      <c r="B2" s="717" t="s">
        <v>77</v>
      </c>
      <c r="C2" s="628" t="s">
        <v>289</v>
      </c>
      <c r="D2" s="718" t="s">
        <v>152</v>
      </c>
      <c r="E2" s="1287" t="s">
        <v>884</v>
      </c>
      <c r="F2" s="1219" t="s">
        <v>881</v>
      </c>
      <c r="G2" s="1219" t="s">
        <v>932</v>
      </c>
      <c r="H2" s="1219" t="s">
        <v>881</v>
      </c>
      <c r="I2" s="1219" t="s">
        <v>932</v>
      </c>
      <c r="J2" s="1219" t="s">
        <v>881</v>
      </c>
      <c r="K2" s="1219" t="s">
        <v>880</v>
      </c>
      <c r="L2" s="719" t="s">
        <v>325</v>
      </c>
      <c r="M2" s="719" t="s">
        <v>326</v>
      </c>
      <c r="N2" s="720" t="s">
        <v>308</v>
      </c>
      <c r="O2" s="778"/>
    </row>
    <row r="3" spans="1:15" s="726" customFormat="1" ht="42.95" customHeight="1" thickBot="1" x14ac:dyDescent="0.25">
      <c r="A3" s="724" t="s">
        <v>269</v>
      </c>
      <c r="B3" s="1652" t="s">
        <v>78</v>
      </c>
      <c r="C3" s="1653"/>
      <c r="D3" s="1653"/>
      <c r="E3" s="1653"/>
      <c r="F3" s="1653"/>
      <c r="G3" s="1653"/>
      <c r="H3" s="1653"/>
      <c r="I3" s="1653"/>
      <c r="J3" s="1653"/>
      <c r="K3" s="1653"/>
      <c r="L3" s="1653"/>
      <c r="M3" s="1653"/>
      <c r="N3" s="1654"/>
      <c r="O3" s="725"/>
    </row>
    <row r="4" spans="1:15" s="730" customFormat="1" ht="26.1" customHeight="1" x14ac:dyDescent="0.2">
      <c r="A4" s="727" t="s">
        <v>61</v>
      </c>
      <c r="B4" s="728" t="s">
        <v>79</v>
      </c>
      <c r="C4" s="1678"/>
      <c r="D4" s="1678"/>
      <c r="E4" s="1678"/>
      <c r="F4" s="1678"/>
      <c r="G4" s="1678"/>
      <c r="H4" s="1678"/>
      <c r="I4" s="1678"/>
      <c r="J4" s="1678"/>
      <c r="K4" s="1678"/>
      <c r="L4" s="1679"/>
      <c r="M4" s="1679"/>
      <c r="N4" s="1680"/>
      <c r="O4" s="729"/>
    </row>
    <row r="5" spans="1:15" s="730" customFormat="1" ht="21.95" customHeight="1" x14ac:dyDescent="0.2">
      <c r="A5" s="731"/>
      <c r="B5" s="732" t="s">
        <v>41</v>
      </c>
      <c r="C5" s="1271">
        <v>0</v>
      </c>
      <c r="D5" s="1271"/>
      <c r="E5" s="1271">
        <f>C5+D5</f>
        <v>0</v>
      </c>
      <c r="F5" s="1271"/>
      <c r="G5" s="1271">
        <f>E5+F5</f>
        <v>0</v>
      </c>
      <c r="H5" s="1271"/>
      <c r="I5" s="1271">
        <f>G5+H5</f>
        <v>0</v>
      </c>
      <c r="J5" s="1271"/>
      <c r="K5" s="1271">
        <f>I5+J5</f>
        <v>0</v>
      </c>
      <c r="L5" s="1274"/>
      <c r="M5" s="1274"/>
      <c r="N5" s="1257"/>
      <c r="O5" s="729">
        <f>L5+M5+N5</f>
        <v>0</v>
      </c>
    </row>
    <row r="6" spans="1:15" s="730" customFormat="1" ht="39" customHeight="1" x14ac:dyDescent="0.2">
      <c r="A6" s="731"/>
      <c r="B6" s="732" t="s">
        <v>309</v>
      </c>
      <c r="C6" s="1271">
        <v>0</v>
      </c>
      <c r="D6" s="1271"/>
      <c r="E6" s="1271">
        <f>C6+D6</f>
        <v>0</v>
      </c>
      <c r="F6" s="1271"/>
      <c r="G6" s="1271">
        <f>E6+F6</f>
        <v>0</v>
      </c>
      <c r="H6" s="1271"/>
      <c r="I6" s="1271">
        <f>G6+H6</f>
        <v>0</v>
      </c>
      <c r="J6" s="1271"/>
      <c r="K6" s="1271">
        <f>I6+J6</f>
        <v>0</v>
      </c>
      <c r="L6" s="1274"/>
      <c r="M6" s="1274"/>
      <c r="N6" s="1257"/>
      <c r="O6" s="729">
        <f t="shared" ref="O6:O69" si="0">L6+M6+N6</f>
        <v>0</v>
      </c>
    </row>
    <row r="7" spans="1:15" s="730" customFormat="1" ht="21.95" customHeight="1" x14ac:dyDescent="0.2">
      <c r="A7" s="731"/>
      <c r="B7" s="732" t="s">
        <v>133</v>
      </c>
      <c r="C7" s="1271">
        <v>19200</v>
      </c>
      <c r="D7" s="1271">
        <v>3249</v>
      </c>
      <c r="E7" s="1271">
        <f>C7+D7</f>
        <v>22449</v>
      </c>
      <c r="F7" s="1271">
        <v>10000</v>
      </c>
      <c r="G7" s="1495">
        <f>E7+F7</f>
        <v>32449</v>
      </c>
      <c r="H7" s="1495">
        <v>2701</v>
      </c>
      <c r="I7" s="1495">
        <f>G7+H7</f>
        <v>35150</v>
      </c>
      <c r="J7" s="1495"/>
      <c r="K7" s="1495">
        <f>I7+J7</f>
        <v>35150</v>
      </c>
      <c r="L7" s="1495">
        <v>35150</v>
      </c>
      <c r="M7" s="1274"/>
      <c r="N7" s="1257"/>
      <c r="O7" s="729">
        <f t="shared" si="0"/>
        <v>35150</v>
      </c>
    </row>
    <row r="8" spans="1:15" s="730" customFormat="1" ht="21.95" customHeight="1" x14ac:dyDescent="0.2">
      <c r="A8" s="731"/>
      <c r="B8" s="732" t="s">
        <v>51</v>
      </c>
      <c r="C8" s="1271">
        <v>0</v>
      </c>
      <c r="D8" s="1271"/>
      <c r="E8" s="1271">
        <f>C8+D8</f>
        <v>0</v>
      </c>
      <c r="F8" s="1271"/>
      <c r="G8" s="1495">
        <f>E8+F8</f>
        <v>0</v>
      </c>
      <c r="H8" s="1495"/>
      <c r="I8" s="1495">
        <f>G8+H8</f>
        <v>0</v>
      </c>
      <c r="J8" s="1495"/>
      <c r="K8" s="1271">
        <f>I8+J8</f>
        <v>0</v>
      </c>
      <c r="L8" s="1495">
        <v>0</v>
      </c>
      <c r="M8" s="1274"/>
      <c r="N8" s="1257"/>
      <c r="O8" s="729">
        <f t="shared" si="0"/>
        <v>0</v>
      </c>
    </row>
    <row r="9" spans="1:15" s="730" customFormat="1" ht="26.1" customHeight="1" x14ac:dyDescent="0.2">
      <c r="A9" s="731"/>
      <c r="B9" s="732" t="s">
        <v>180</v>
      </c>
      <c r="C9" s="1271">
        <f t="shared" ref="C9:N9" si="1">SUM(C5:C8)</f>
        <v>19200</v>
      </c>
      <c r="D9" s="1271">
        <f t="shared" si="1"/>
        <v>3249</v>
      </c>
      <c r="E9" s="1271">
        <f t="shared" si="1"/>
        <v>22449</v>
      </c>
      <c r="F9" s="1271">
        <f t="shared" si="1"/>
        <v>10000</v>
      </c>
      <c r="G9" s="1495">
        <f t="shared" si="1"/>
        <v>32449</v>
      </c>
      <c r="H9" s="1495">
        <f>SUM(H5:H8)</f>
        <v>2701</v>
      </c>
      <c r="I9" s="1495">
        <f>SUM(I5:I8)</f>
        <v>35150</v>
      </c>
      <c r="J9" s="1495">
        <f>SUM(J5:J8)</f>
        <v>0</v>
      </c>
      <c r="K9" s="1495">
        <f>SUM(K5:K8)</f>
        <v>35150</v>
      </c>
      <c r="L9" s="1495">
        <f t="shared" si="1"/>
        <v>35150</v>
      </c>
      <c r="M9" s="1271">
        <f t="shared" si="1"/>
        <v>0</v>
      </c>
      <c r="N9" s="1275">
        <f t="shared" si="1"/>
        <v>0</v>
      </c>
      <c r="O9" s="729">
        <f t="shared" si="0"/>
        <v>35150</v>
      </c>
    </row>
    <row r="10" spans="1:15" s="730" customFormat="1" ht="26.1" customHeight="1" x14ac:dyDescent="0.2">
      <c r="A10" s="733" t="s">
        <v>62</v>
      </c>
      <c r="B10" s="734" t="s">
        <v>80</v>
      </c>
      <c r="C10" s="1642"/>
      <c r="D10" s="1642"/>
      <c r="E10" s="1642"/>
      <c r="F10" s="1642"/>
      <c r="G10" s="1642"/>
      <c r="H10" s="1642"/>
      <c r="I10" s="1642"/>
      <c r="J10" s="1642"/>
      <c r="K10" s="1642"/>
      <c r="L10" s="1643"/>
      <c r="M10" s="1643"/>
      <c r="N10" s="1644"/>
      <c r="O10" s="729"/>
    </row>
    <row r="11" spans="1:15" s="730" customFormat="1" ht="21.95" customHeight="1" x14ac:dyDescent="0.2">
      <c r="A11" s="731"/>
      <c r="B11" s="732" t="s">
        <v>41</v>
      </c>
      <c r="C11" s="779">
        <v>0</v>
      </c>
      <c r="D11" s="779"/>
      <c r="E11" s="779">
        <f>C11+D11</f>
        <v>0</v>
      </c>
      <c r="F11" s="779"/>
      <c r="G11" s="779">
        <f>E11+F11</f>
        <v>0</v>
      </c>
      <c r="H11" s="779"/>
      <c r="I11" s="779">
        <f>G11+H11</f>
        <v>0</v>
      </c>
      <c r="J11" s="779"/>
      <c r="K11" s="779">
        <f>I11+J11</f>
        <v>0</v>
      </c>
      <c r="L11" s="1285"/>
      <c r="M11" s="1285"/>
      <c r="N11" s="1286"/>
      <c r="O11" s="729">
        <f t="shared" si="0"/>
        <v>0</v>
      </c>
    </row>
    <row r="12" spans="1:15" s="730" customFormat="1" ht="39" customHeight="1" x14ac:dyDescent="0.2">
      <c r="A12" s="731"/>
      <c r="B12" s="732" t="s">
        <v>309</v>
      </c>
      <c r="C12" s="779">
        <v>0</v>
      </c>
      <c r="D12" s="779"/>
      <c r="E12" s="779">
        <f>C12+D12</f>
        <v>0</v>
      </c>
      <c r="F12" s="779"/>
      <c r="G12" s="779">
        <f>E12+F12</f>
        <v>0</v>
      </c>
      <c r="H12" s="779"/>
      <c r="I12" s="779">
        <f>G12+H12</f>
        <v>0</v>
      </c>
      <c r="J12" s="779"/>
      <c r="K12" s="779">
        <f>I12+J12</f>
        <v>0</v>
      </c>
      <c r="L12" s="1285"/>
      <c r="M12" s="1285"/>
      <c r="N12" s="1286"/>
      <c r="O12" s="729">
        <f t="shared" si="0"/>
        <v>0</v>
      </c>
    </row>
    <row r="13" spans="1:15" s="730" customFormat="1" ht="21.95" customHeight="1" x14ac:dyDescent="0.2">
      <c r="A13" s="731"/>
      <c r="B13" s="732" t="s">
        <v>133</v>
      </c>
      <c r="C13" s="780">
        <v>4000</v>
      </c>
      <c r="D13" s="780"/>
      <c r="E13" s="779">
        <f>C13+D13</f>
        <v>4000</v>
      </c>
      <c r="F13" s="779"/>
      <c r="G13" s="779">
        <f>E13+F13</f>
        <v>4000</v>
      </c>
      <c r="H13" s="779"/>
      <c r="I13" s="779">
        <f>G13+H13</f>
        <v>4000</v>
      </c>
      <c r="J13" s="779"/>
      <c r="K13" s="779">
        <f>I13+J13</f>
        <v>4000</v>
      </c>
      <c r="L13" s="780">
        <v>4000</v>
      </c>
      <c r="M13" s="1285"/>
      <c r="N13" s="1286"/>
      <c r="O13" s="729">
        <f t="shared" si="0"/>
        <v>4000</v>
      </c>
    </row>
    <row r="14" spans="1:15" s="730" customFormat="1" ht="21.95" customHeight="1" x14ac:dyDescent="0.2">
      <c r="A14" s="731"/>
      <c r="B14" s="732" t="s">
        <v>51</v>
      </c>
      <c r="C14" s="779">
        <v>0</v>
      </c>
      <c r="D14" s="779"/>
      <c r="E14" s="779">
        <f>C14+D14</f>
        <v>0</v>
      </c>
      <c r="F14" s="779"/>
      <c r="G14" s="779">
        <f>E14+F14</f>
        <v>0</v>
      </c>
      <c r="H14" s="779"/>
      <c r="I14" s="779">
        <f>G14+H14</f>
        <v>0</v>
      </c>
      <c r="J14" s="779"/>
      <c r="K14" s="779">
        <f>I14+J14</f>
        <v>0</v>
      </c>
      <c r="L14" s="779">
        <v>0</v>
      </c>
      <c r="M14" s="1285"/>
      <c r="N14" s="1286"/>
      <c r="O14" s="729">
        <f t="shared" si="0"/>
        <v>0</v>
      </c>
    </row>
    <row r="15" spans="1:15" s="730" customFormat="1" ht="26.1" customHeight="1" x14ac:dyDescent="0.2">
      <c r="A15" s="731"/>
      <c r="B15" s="732" t="s">
        <v>180</v>
      </c>
      <c r="C15" s="779">
        <f t="shared" ref="C15:N15" si="2">SUM(C11:C14)</f>
        <v>4000</v>
      </c>
      <c r="D15" s="779">
        <f t="shared" si="2"/>
        <v>0</v>
      </c>
      <c r="E15" s="779">
        <f t="shared" si="2"/>
        <v>4000</v>
      </c>
      <c r="F15" s="779">
        <f t="shared" si="2"/>
        <v>0</v>
      </c>
      <c r="G15" s="779">
        <f t="shared" si="2"/>
        <v>4000</v>
      </c>
      <c r="H15" s="779">
        <f>SUM(H11:H14)</f>
        <v>0</v>
      </c>
      <c r="I15" s="779">
        <f>SUM(I11:I14)</f>
        <v>4000</v>
      </c>
      <c r="J15" s="779">
        <f>SUM(J11:J14)</f>
        <v>0</v>
      </c>
      <c r="K15" s="779">
        <f>SUM(K11:K14)</f>
        <v>4000</v>
      </c>
      <c r="L15" s="779">
        <f t="shared" si="2"/>
        <v>4000</v>
      </c>
      <c r="M15" s="779">
        <f t="shared" si="2"/>
        <v>0</v>
      </c>
      <c r="N15" s="781">
        <f t="shared" si="2"/>
        <v>0</v>
      </c>
      <c r="O15" s="729">
        <f t="shared" si="0"/>
        <v>4000</v>
      </c>
    </row>
    <row r="16" spans="1:15" s="730" customFormat="1" ht="26.1" customHeight="1" x14ac:dyDescent="0.2">
      <c r="A16" s="733" t="s">
        <v>63</v>
      </c>
      <c r="B16" s="734" t="s">
        <v>81</v>
      </c>
      <c r="C16" s="1642"/>
      <c r="D16" s="1642"/>
      <c r="E16" s="1642"/>
      <c r="F16" s="1642"/>
      <c r="G16" s="1642"/>
      <c r="H16" s="1642"/>
      <c r="I16" s="1642"/>
      <c r="J16" s="1642"/>
      <c r="K16" s="1642"/>
      <c r="L16" s="1643"/>
      <c r="M16" s="1643"/>
      <c r="N16" s="1644"/>
      <c r="O16" s="729"/>
    </row>
    <row r="17" spans="1:15" s="730" customFormat="1" ht="21.95" customHeight="1" x14ac:dyDescent="0.2">
      <c r="A17" s="731"/>
      <c r="B17" s="732" t="s">
        <v>41</v>
      </c>
      <c r="C17" s="1271">
        <v>0</v>
      </c>
      <c r="D17" s="1271"/>
      <c r="E17" s="1271">
        <f>C17+D17</f>
        <v>0</v>
      </c>
      <c r="F17" s="1271"/>
      <c r="G17" s="1271">
        <f>E17+F17</f>
        <v>0</v>
      </c>
      <c r="H17" s="1271"/>
      <c r="I17" s="1271">
        <f>H17+G17</f>
        <v>0</v>
      </c>
      <c r="J17" s="1271"/>
      <c r="K17" s="1271">
        <f>J17+I17</f>
        <v>0</v>
      </c>
      <c r="L17" s="1274"/>
      <c r="M17" s="1274"/>
      <c r="N17" s="1257"/>
      <c r="O17" s="729">
        <f t="shared" si="0"/>
        <v>0</v>
      </c>
    </row>
    <row r="18" spans="1:15" s="730" customFormat="1" ht="39" customHeight="1" x14ac:dyDescent="0.2">
      <c r="A18" s="731"/>
      <c r="B18" s="732" t="s">
        <v>309</v>
      </c>
      <c r="C18" s="1271">
        <v>0</v>
      </c>
      <c r="D18" s="1271"/>
      <c r="E18" s="1271">
        <f>C18+D18</f>
        <v>0</v>
      </c>
      <c r="F18" s="1271"/>
      <c r="G18" s="1271">
        <f>E18+F18</f>
        <v>0</v>
      </c>
      <c r="H18" s="1271"/>
      <c r="I18" s="1271">
        <f>G18+H18</f>
        <v>0</v>
      </c>
      <c r="J18" s="1271"/>
      <c r="K18" s="1271">
        <f>J18+I18</f>
        <v>0</v>
      </c>
      <c r="L18" s="1274"/>
      <c r="M18" s="1274"/>
      <c r="N18" s="1257"/>
      <c r="O18" s="729">
        <f t="shared" si="0"/>
        <v>0</v>
      </c>
    </row>
    <row r="19" spans="1:15" s="730" customFormat="1" ht="21.95" customHeight="1" x14ac:dyDescent="0.2">
      <c r="A19" s="731"/>
      <c r="B19" s="732" t="s">
        <v>133</v>
      </c>
      <c r="C19" s="1495">
        <v>3500</v>
      </c>
      <c r="D19" s="1271">
        <v>1819</v>
      </c>
      <c r="E19" s="1271">
        <f>C19+D19</f>
        <v>5319</v>
      </c>
      <c r="F19" s="1271"/>
      <c r="G19" s="1271">
        <f>E19+F19</f>
        <v>5319</v>
      </c>
      <c r="H19" s="1495">
        <v>400</v>
      </c>
      <c r="I19" s="1495">
        <f>G19+H19</f>
        <v>5719</v>
      </c>
      <c r="J19" s="1495"/>
      <c r="K19" s="1271">
        <f>J19+I19</f>
        <v>5719</v>
      </c>
      <c r="L19" s="1271">
        <v>5719</v>
      </c>
      <c r="M19" s="1274"/>
      <c r="N19" s="1257"/>
      <c r="O19" s="729">
        <f t="shared" si="0"/>
        <v>5719</v>
      </c>
    </row>
    <row r="20" spans="1:15" s="730" customFormat="1" ht="21.95" customHeight="1" x14ac:dyDescent="0.2">
      <c r="A20" s="731"/>
      <c r="B20" s="732" t="s">
        <v>51</v>
      </c>
      <c r="C20" s="1495">
        <v>0</v>
      </c>
      <c r="D20" s="1271"/>
      <c r="E20" s="1271">
        <f>C20+D20</f>
        <v>0</v>
      </c>
      <c r="F20" s="1271"/>
      <c r="G20" s="1271">
        <f>E20+F20</f>
        <v>0</v>
      </c>
      <c r="H20" s="1495"/>
      <c r="I20" s="1495">
        <f>G20+H20</f>
        <v>0</v>
      </c>
      <c r="J20" s="1495"/>
      <c r="K20" s="1271">
        <f>J20+I20</f>
        <v>0</v>
      </c>
      <c r="L20" s="1271">
        <v>0</v>
      </c>
      <c r="M20" s="1274"/>
      <c r="N20" s="1257"/>
      <c r="O20" s="729">
        <f t="shared" si="0"/>
        <v>0</v>
      </c>
    </row>
    <row r="21" spans="1:15" s="730" customFormat="1" ht="26.1" customHeight="1" x14ac:dyDescent="0.2">
      <c r="A21" s="731"/>
      <c r="B21" s="732" t="s">
        <v>180</v>
      </c>
      <c r="C21" s="1495">
        <f t="shared" ref="C21:N21" si="3">SUM(C17:C20)</f>
        <v>3500</v>
      </c>
      <c r="D21" s="1271">
        <f t="shared" si="3"/>
        <v>1819</v>
      </c>
      <c r="E21" s="1271">
        <f t="shared" si="3"/>
        <v>5319</v>
      </c>
      <c r="F21" s="1271">
        <f t="shared" si="3"/>
        <v>0</v>
      </c>
      <c r="G21" s="1271">
        <f t="shared" si="3"/>
        <v>5319</v>
      </c>
      <c r="H21" s="1495">
        <f>SUM(H17:H20)</f>
        <v>400</v>
      </c>
      <c r="I21" s="1495">
        <f>SUM(I17:I20)</f>
        <v>5719</v>
      </c>
      <c r="J21" s="1495">
        <f>SUM(J17:J20)</f>
        <v>0</v>
      </c>
      <c r="K21" s="1495">
        <f>SUM(K17:K20)</f>
        <v>5719</v>
      </c>
      <c r="L21" s="1271">
        <f t="shared" si="3"/>
        <v>5719</v>
      </c>
      <c r="M21" s="1271">
        <f t="shared" si="3"/>
        <v>0</v>
      </c>
      <c r="N21" s="1275">
        <f t="shared" si="3"/>
        <v>0</v>
      </c>
      <c r="O21" s="729">
        <f t="shared" si="0"/>
        <v>5719</v>
      </c>
    </row>
    <row r="22" spans="1:15" s="730" customFormat="1" ht="26.1" customHeight="1" x14ac:dyDescent="0.2">
      <c r="A22" s="733" t="s">
        <v>64</v>
      </c>
      <c r="B22" s="734" t="s">
        <v>82</v>
      </c>
      <c r="C22" s="1642"/>
      <c r="D22" s="1642"/>
      <c r="E22" s="1642"/>
      <c r="F22" s="1642"/>
      <c r="G22" s="1642"/>
      <c r="H22" s="1642"/>
      <c r="I22" s="1642"/>
      <c r="J22" s="1642"/>
      <c r="K22" s="1642"/>
      <c r="L22" s="1643"/>
      <c r="M22" s="1643"/>
      <c r="N22" s="1644"/>
      <c r="O22" s="729"/>
    </row>
    <row r="23" spans="1:15" s="730" customFormat="1" ht="21.95" customHeight="1" x14ac:dyDescent="0.2">
      <c r="A23" s="731"/>
      <c r="B23" s="732" t="s">
        <v>41</v>
      </c>
      <c r="C23" s="1271">
        <v>0</v>
      </c>
      <c r="D23" s="1271"/>
      <c r="E23" s="1271">
        <f>C23+D23</f>
        <v>0</v>
      </c>
      <c r="F23" s="1271"/>
      <c r="G23" s="1271">
        <f>E23+F23</f>
        <v>0</v>
      </c>
      <c r="H23" s="1271"/>
      <c r="I23" s="1271">
        <f>G23+H23</f>
        <v>0</v>
      </c>
      <c r="J23" s="1271"/>
      <c r="K23" s="1271">
        <f>I23+J23</f>
        <v>0</v>
      </c>
      <c r="L23" s="1274"/>
      <c r="M23" s="1274"/>
      <c r="N23" s="1257"/>
      <c r="O23" s="729">
        <f t="shared" si="0"/>
        <v>0</v>
      </c>
    </row>
    <row r="24" spans="1:15" s="730" customFormat="1" ht="39" customHeight="1" x14ac:dyDescent="0.2">
      <c r="A24" s="731"/>
      <c r="B24" s="732" t="s">
        <v>309</v>
      </c>
      <c r="C24" s="1271">
        <v>0</v>
      </c>
      <c r="D24" s="1271"/>
      <c r="E24" s="1271">
        <f>C24+D24</f>
        <v>0</v>
      </c>
      <c r="F24" s="1271"/>
      <c r="G24" s="1271">
        <f>E24+F24</f>
        <v>0</v>
      </c>
      <c r="H24" s="1271"/>
      <c r="I24" s="1271">
        <f>G24+H24</f>
        <v>0</v>
      </c>
      <c r="J24" s="1271"/>
      <c r="K24" s="1271">
        <f>I24+J24</f>
        <v>0</v>
      </c>
      <c r="L24" s="1274"/>
      <c r="M24" s="1274"/>
      <c r="N24" s="1257"/>
      <c r="O24" s="729">
        <f t="shared" si="0"/>
        <v>0</v>
      </c>
    </row>
    <row r="25" spans="1:15" s="730" customFormat="1" ht="21.95" customHeight="1" x14ac:dyDescent="0.2">
      <c r="A25" s="731"/>
      <c r="B25" s="732" t="s">
        <v>133</v>
      </c>
      <c r="C25" s="1495">
        <v>1500</v>
      </c>
      <c r="D25" s="1495"/>
      <c r="E25" s="1495">
        <f>C25+D25</f>
        <v>1500</v>
      </c>
      <c r="F25" s="1495"/>
      <c r="G25" s="1495">
        <f>E25+F25</f>
        <v>1500</v>
      </c>
      <c r="H25" s="1271"/>
      <c r="I25" s="1495">
        <f>G25+H25</f>
        <v>1500</v>
      </c>
      <c r="J25" s="1495"/>
      <c r="K25" s="1271">
        <f>I25+J25</f>
        <v>1500</v>
      </c>
      <c r="L25" s="1495">
        <v>1500</v>
      </c>
      <c r="M25" s="1274"/>
      <c r="N25" s="1257"/>
      <c r="O25" s="729">
        <f t="shared" si="0"/>
        <v>1500</v>
      </c>
    </row>
    <row r="26" spans="1:15" s="730" customFormat="1" ht="21.95" customHeight="1" x14ac:dyDescent="0.2">
      <c r="A26" s="731"/>
      <c r="B26" s="732" t="s">
        <v>51</v>
      </c>
      <c r="C26" s="1495">
        <v>0</v>
      </c>
      <c r="D26" s="1495"/>
      <c r="E26" s="1495">
        <f>C26+D26</f>
        <v>0</v>
      </c>
      <c r="F26" s="1495"/>
      <c r="G26" s="1495">
        <f>E26+F26</f>
        <v>0</v>
      </c>
      <c r="H26" s="1271"/>
      <c r="I26" s="1495">
        <f>G26+H26</f>
        <v>0</v>
      </c>
      <c r="J26" s="1495"/>
      <c r="K26" s="1271">
        <f>I26+J26</f>
        <v>0</v>
      </c>
      <c r="L26" s="1495">
        <v>0</v>
      </c>
      <c r="M26" s="1274"/>
      <c r="N26" s="1257"/>
      <c r="O26" s="729">
        <f t="shared" si="0"/>
        <v>0</v>
      </c>
    </row>
    <row r="27" spans="1:15" s="730" customFormat="1" ht="26.1" customHeight="1" x14ac:dyDescent="0.2">
      <c r="A27" s="731"/>
      <c r="B27" s="732" t="s">
        <v>180</v>
      </c>
      <c r="C27" s="1495">
        <f t="shared" ref="C27:N27" si="4">SUM(C23:C26)</f>
        <v>1500</v>
      </c>
      <c r="D27" s="1495">
        <f t="shared" si="4"/>
        <v>0</v>
      </c>
      <c r="E27" s="1495">
        <f t="shared" si="4"/>
        <v>1500</v>
      </c>
      <c r="F27" s="1495">
        <f t="shared" si="4"/>
        <v>0</v>
      </c>
      <c r="G27" s="1495">
        <f t="shared" si="4"/>
        <v>1500</v>
      </c>
      <c r="H27" s="1271">
        <f>SUM(H23:H26)</f>
        <v>0</v>
      </c>
      <c r="I27" s="1495">
        <f>SUM(I23:I26)</f>
        <v>1500</v>
      </c>
      <c r="J27" s="1271">
        <f>SUM(J23:J26)</f>
        <v>0</v>
      </c>
      <c r="K27" s="1495">
        <f>SUM(K23:K26)</f>
        <v>1500</v>
      </c>
      <c r="L27" s="1495">
        <f t="shared" si="4"/>
        <v>1500</v>
      </c>
      <c r="M27" s="1271">
        <f t="shared" si="4"/>
        <v>0</v>
      </c>
      <c r="N27" s="1275">
        <f t="shared" si="4"/>
        <v>0</v>
      </c>
      <c r="O27" s="729">
        <f t="shared" si="0"/>
        <v>1500</v>
      </c>
    </row>
    <row r="28" spans="1:15" s="730" customFormat="1" ht="26.1" customHeight="1" x14ac:dyDescent="0.2">
      <c r="A28" s="733" t="s">
        <v>65</v>
      </c>
      <c r="B28" s="734" t="s">
        <v>84</v>
      </c>
      <c r="C28" s="1645"/>
      <c r="D28" s="1645"/>
      <c r="E28" s="1645"/>
      <c r="F28" s="1645"/>
      <c r="G28" s="1645"/>
      <c r="H28" s="1645"/>
      <c r="I28" s="1645"/>
      <c r="J28" s="1645"/>
      <c r="K28" s="1645"/>
      <c r="L28" s="1643"/>
      <c r="M28" s="1643"/>
      <c r="N28" s="1644"/>
      <c r="O28" s="729"/>
    </row>
    <row r="29" spans="1:15" s="730" customFormat="1" ht="21.95" customHeight="1" x14ac:dyDescent="0.2">
      <c r="A29" s="731"/>
      <c r="B29" s="732" t="s">
        <v>41</v>
      </c>
      <c r="C29" s="1271">
        <v>0</v>
      </c>
      <c r="D29" s="1271"/>
      <c r="E29" s="1271">
        <f>C29+D29</f>
        <v>0</v>
      </c>
      <c r="F29" s="1271"/>
      <c r="G29" s="1271">
        <f>E29+F29</f>
        <v>0</v>
      </c>
      <c r="H29" s="1271"/>
      <c r="I29" s="1271">
        <f>G29+H29</f>
        <v>0</v>
      </c>
      <c r="J29" s="1271"/>
      <c r="K29" s="1271">
        <f>I29+J29</f>
        <v>0</v>
      </c>
      <c r="L29" s="1274"/>
      <c r="M29" s="1274"/>
      <c r="N29" s="1257"/>
      <c r="O29" s="729">
        <f t="shared" si="0"/>
        <v>0</v>
      </c>
    </row>
    <row r="30" spans="1:15" s="730" customFormat="1" ht="39" customHeight="1" x14ac:dyDescent="0.2">
      <c r="A30" s="731"/>
      <c r="B30" s="732" t="s">
        <v>309</v>
      </c>
      <c r="C30" s="1271">
        <v>0</v>
      </c>
      <c r="D30" s="1271"/>
      <c r="E30" s="1271">
        <f>C30+D30</f>
        <v>0</v>
      </c>
      <c r="F30" s="1271"/>
      <c r="G30" s="1271">
        <f>E30+F30</f>
        <v>0</v>
      </c>
      <c r="H30" s="1271"/>
      <c r="I30" s="1271">
        <f>G30+H30</f>
        <v>0</v>
      </c>
      <c r="J30" s="1271"/>
      <c r="K30" s="1271">
        <f>I30+J30</f>
        <v>0</v>
      </c>
      <c r="L30" s="1274"/>
      <c r="M30" s="1274"/>
      <c r="N30" s="1257"/>
      <c r="O30" s="729">
        <f t="shared" si="0"/>
        <v>0</v>
      </c>
    </row>
    <row r="31" spans="1:15" s="730" customFormat="1" ht="21.95" customHeight="1" x14ac:dyDescent="0.2">
      <c r="A31" s="731"/>
      <c r="B31" s="732" t="s">
        <v>133</v>
      </c>
      <c r="C31" s="1495">
        <v>11000</v>
      </c>
      <c r="D31" s="1495"/>
      <c r="E31" s="1495">
        <f>C31+D31</f>
        <v>11000</v>
      </c>
      <c r="F31" s="1495"/>
      <c r="G31" s="1495">
        <f>E31+F31</f>
        <v>11000</v>
      </c>
      <c r="H31" s="1495"/>
      <c r="I31" s="1495">
        <f>G31+H31</f>
        <v>11000</v>
      </c>
      <c r="J31" s="1495"/>
      <c r="K31" s="1271">
        <f>I31+J31</f>
        <v>11000</v>
      </c>
      <c r="L31" s="1495">
        <v>11000</v>
      </c>
      <c r="M31" s="1274"/>
      <c r="N31" s="1257"/>
      <c r="O31" s="729">
        <f t="shared" si="0"/>
        <v>11000</v>
      </c>
    </row>
    <row r="32" spans="1:15" s="730" customFormat="1" ht="21.95" customHeight="1" x14ac:dyDescent="0.2">
      <c r="A32" s="731"/>
      <c r="B32" s="732" t="s">
        <v>51</v>
      </c>
      <c r="C32" s="1495">
        <v>0</v>
      </c>
      <c r="D32" s="1495"/>
      <c r="E32" s="1495">
        <f>C32+D32</f>
        <v>0</v>
      </c>
      <c r="F32" s="1495"/>
      <c r="G32" s="1495">
        <f>E32+F32</f>
        <v>0</v>
      </c>
      <c r="H32" s="1495"/>
      <c r="I32" s="1495">
        <f>G32+H32</f>
        <v>0</v>
      </c>
      <c r="J32" s="1495"/>
      <c r="K32" s="1271">
        <f>I32+J32</f>
        <v>0</v>
      </c>
      <c r="L32" s="1495">
        <v>0</v>
      </c>
      <c r="M32" s="1274"/>
      <c r="N32" s="1257"/>
      <c r="O32" s="729">
        <f t="shared" si="0"/>
        <v>0</v>
      </c>
    </row>
    <row r="33" spans="1:15" s="730" customFormat="1" ht="26.1" customHeight="1" x14ac:dyDescent="0.2">
      <c r="A33" s="731"/>
      <c r="B33" s="732" t="s">
        <v>180</v>
      </c>
      <c r="C33" s="1495">
        <f t="shared" ref="C33:N33" si="5">SUM(C29:C32)</f>
        <v>11000</v>
      </c>
      <c r="D33" s="1495">
        <f t="shared" si="5"/>
        <v>0</v>
      </c>
      <c r="E33" s="1495">
        <f t="shared" si="5"/>
        <v>11000</v>
      </c>
      <c r="F33" s="1495">
        <f t="shared" si="5"/>
        <v>0</v>
      </c>
      <c r="G33" s="1495">
        <f t="shared" si="5"/>
        <v>11000</v>
      </c>
      <c r="H33" s="1495">
        <f>SUM(H29:H32)</f>
        <v>0</v>
      </c>
      <c r="I33" s="1495">
        <f>SUM(I29:I32)</f>
        <v>11000</v>
      </c>
      <c r="J33" s="1495">
        <f>SUM(J29:J32)</f>
        <v>0</v>
      </c>
      <c r="K33" s="1495">
        <f>SUM(K29:K32)</f>
        <v>11000</v>
      </c>
      <c r="L33" s="1495">
        <f t="shared" si="5"/>
        <v>11000</v>
      </c>
      <c r="M33" s="1271">
        <f t="shared" si="5"/>
        <v>0</v>
      </c>
      <c r="N33" s="1275">
        <f t="shared" si="5"/>
        <v>0</v>
      </c>
      <c r="O33" s="729">
        <f t="shared" si="0"/>
        <v>11000</v>
      </c>
    </row>
    <row r="34" spans="1:15" s="730" customFormat="1" ht="26.1" customHeight="1" x14ac:dyDescent="0.2">
      <c r="A34" s="733" t="s">
        <v>66</v>
      </c>
      <c r="B34" s="734" t="s">
        <v>85</v>
      </c>
      <c r="C34" s="1645"/>
      <c r="D34" s="1645"/>
      <c r="E34" s="1645"/>
      <c r="F34" s="1645"/>
      <c r="G34" s="1645"/>
      <c r="H34" s="1645"/>
      <c r="I34" s="1645"/>
      <c r="J34" s="1645"/>
      <c r="K34" s="1645"/>
      <c r="L34" s="1643"/>
      <c r="M34" s="1643"/>
      <c r="N34" s="1644"/>
      <c r="O34" s="729"/>
    </row>
    <row r="35" spans="1:15" s="730" customFormat="1" ht="21.95" customHeight="1" x14ac:dyDescent="0.2">
      <c r="A35" s="731"/>
      <c r="B35" s="732" t="s">
        <v>41</v>
      </c>
      <c r="C35" s="1495">
        <v>0</v>
      </c>
      <c r="D35" s="1495"/>
      <c r="E35" s="1495">
        <v>2000</v>
      </c>
      <c r="F35" s="1495"/>
      <c r="G35" s="1495">
        <f>E35+F35</f>
        <v>2000</v>
      </c>
      <c r="H35" s="1495"/>
      <c r="I35" s="1495">
        <f>G35+H35</f>
        <v>2000</v>
      </c>
      <c r="J35" s="1495"/>
      <c r="K35" s="1495">
        <f>I35+J35</f>
        <v>2000</v>
      </c>
      <c r="L35" s="1496">
        <v>2000</v>
      </c>
      <c r="M35" s="1274"/>
      <c r="N35" s="1257"/>
      <c r="O35" s="729">
        <f t="shared" si="0"/>
        <v>2000</v>
      </c>
    </row>
    <row r="36" spans="1:15" s="730" customFormat="1" ht="39" customHeight="1" x14ac:dyDescent="0.2">
      <c r="A36" s="731"/>
      <c r="B36" s="732" t="s">
        <v>309</v>
      </c>
      <c r="C36" s="1495">
        <v>0</v>
      </c>
      <c r="D36" s="1495"/>
      <c r="E36" s="1495">
        <f>C36+D36</f>
        <v>0</v>
      </c>
      <c r="F36" s="1495"/>
      <c r="G36" s="1495">
        <f>E36+F36</f>
        <v>0</v>
      </c>
      <c r="H36" s="1495"/>
      <c r="I36" s="1495">
        <f>G36+H36</f>
        <v>0</v>
      </c>
      <c r="J36" s="1495"/>
      <c r="K36" s="1495">
        <f>I36+J36</f>
        <v>0</v>
      </c>
      <c r="L36" s="1496"/>
      <c r="M36" s="1274"/>
      <c r="N36" s="1257"/>
      <c r="O36" s="729">
        <f t="shared" si="0"/>
        <v>0</v>
      </c>
    </row>
    <row r="37" spans="1:15" s="730" customFormat="1" ht="27.75" customHeight="1" x14ac:dyDescent="0.2">
      <c r="A37" s="731"/>
      <c r="B37" s="732" t="s">
        <v>133</v>
      </c>
      <c r="C37" s="1497">
        <f>25800+34000</f>
        <v>59800</v>
      </c>
      <c r="D37" s="1497">
        <v>1140</v>
      </c>
      <c r="E37" s="1495">
        <f>C37+D37</f>
        <v>60940</v>
      </c>
      <c r="F37" s="1495"/>
      <c r="G37" s="1495">
        <f>E37+F37</f>
        <v>60940</v>
      </c>
      <c r="H37" s="1495"/>
      <c r="I37" s="1495">
        <f>G37+H37</f>
        <v>60940</v>
      </c>
      <c r="J37" s="1495">
        <f>5000+60240+300-305-2250-710</f>
        <v>62275</v>
      </c>
      <c r="K37" s="1495">
        <f>I37+J37</f>
        <v>123215</v>
      </c>
      <c r="L37" s="1497">
        <v>123215</v>
      </c>
      <c r="M37" s="1274"/>
      <c r="N37" s="1257"/>
      <c r="O37" s="729">
        <f t="shared" si="0"/>
        <v>123215</v>
      </c>
    </row>
    <row r="38" spans="1:15" s="730" customFormat="1" ht="33.75" customHeight="1" x14ac:dyDescent="0.2">
      <c r="A38" s="731"/>
      <c r="B38" s="732" t="s">
        <v>124</v>
      </c>
      <c r="C38" s="1495">
        <v>0</v>
      </c>
      <c r="D38" s="1495"/>
      <c r="E38" s="1495">
        <f>C38+D38</f>
        <v>0</v>
      </c>
      <c r="F38" s="1495"/>
      <c r="G38" s="1495">
        <f>E38+F38</f>
        <v>0</v>
      </c>
      <c r="H38" s="1495"/>
      <c r="I38" s="1495">
        <f>G38+H38</f>
        <v>0</v>
      </c>
      <c r="J38" s="1495"/>
      <c r="K38" s="1495">
        <f>I38+J38</f>
        <v>0</v>
      </c>
      <c r="L38" s="1495">
        <v>0</v>
      </c>
      <c r="M38" s="1274"/>
      <c r="N38" s="1257"/>
      <c r="O38" s="729">
        <f t="shared" si="0"/>
        <v>0</v>
      </c>
    </row>
    <row r="39" spans="1:15" s="730" customFormat="1" ht="26.1" customHeight="1" x14ac:dyDescent="0.2">
      <c r="A39" s="731"/>
      <c r="B39" s="732" t="s">
        <v>180</v>
      </c>
      <c r="C39" s="1495">
        <f t="shared" ref="C39:N39" si="6">SUM(C35:C38)</f>
        <v>59800</v>
      </c>
      <c r="D39" s="1495">
        <f t="shared" si="6"/>
        <v>1140</v>
      </c>
      <c r="E39" s="1495">
        <f t="shared" si="6"/>
        <v>62940</v>
      </c>
      <c r="F39" s="1495">
        <f t="shared" si="6"/>
        <v>0</v>
      </c>
      <c r="G39" s="1495">
        <f t="shared" si="6"/>
        <v>62940</v>
      </c>
      <c r="H39" s="1495">
        <f>SUM(H35:H38)</f>
        <v>0</v>
      </c>
      <c r="I39" s="1495">
        <f>SUM(I35:I38)</f>
        <v>62940</v>
      </c>
      <c r="J39" s="1495">
        <f>SUM(J35:J38)</f>
        <v>62275</v>
      </c>
      <c r="K39" s="1495">
        <f>SUM(K35:K38)</f>
        <v>125215</v>
      </c>
      <c r="L39" s="1495">
        <f t="shared" si="6"/>
        <v>125215</v>
      </c>
      <c r="M39" s="1271">
        <f t="shared" si="6"/>
        <v>0</v>
      </c>
      <c r="N39" s="1275">
        <f t="shared" si="6"/>
        <v>0</v>
      </c>
      <c r="O39" s="729">
        <f t="shared" si="0"/>
        <v>125215</v>
      </c>
    </row>
    <row r="40" spans="1:15" s="730" customFormat="1" ht="26.1" customHeight="1" x14ac:dyDescent="0.2">
      <c r="A40" s="733" t="s">
        <v>67</v>
      </c>
      <c r="B40" s="734" t="s">
        <v>86</v>
      </c>
      <c r="C40" s="1642"/>
      <c r="D40" s="1642"/>
      <c r="E40" s="1642"/>
      <c r="F40" s="1642"/>
      <c r="G40" s="1642"/>
      <c r="H40" s="1642"/>
      <c r="I40" s="1642"/>
      <c r="J40" s="1642"/>
      <c r="K40" s="1642"/>
      <c r="L40" s="1643"/>
      <c r="M40" s="1643"/>
      <c r="N40" s="1644"/>
      <c r="O40" s="729"/>
    </row>
    <row r="41" spans="1:15" s="730" customFormat="1" ht="21.95" customHeight="1" x14ac:dyDescent="0.2">
      <c r="A41" s="731"/>
      <c r="B41" s="732" t="s">
        <v>41</v>
      </c>
      <c r="C41" s="1271">
        <v>0</v>
      </c>
      <c r="D41" s="1271"/>
      <c r="E41" s="1271">
        <f>C41+D41</f>
        <v>0</v>
      </c>
      <c r="F41" s="1271"/>
      <c r="G41" s="1271">
        <f>E41+F41</f>
        <v>0</v>
      </c>
      <c r="H41" s="1271"/>
      <c r="I41" s="1271">
        <f>G41+H41</f>
        <v>0</v>
      </c>
      <c r="J41" s="1271"/>
      <c r="K41" s="1271">
        <f>I41+J41</f>
        <v>0</v>
      </c>
      <c r="L41" s="1274"/>
      <c r="M41" s="1274"/>
      <c r="N41" s="1257"/>
      <c r="O41" s="729">
        <f t="shared" si="0"/>
        <v>0</v>
      </c>
    </row>
    <row r="42" spans="1:15" s="730" customFormat="1" ht="39" customHeight="1" x14ac:dyDescent="0.2">
      <c r="A42" s="731"/>
      <c r="B42" s="732" t="s">
        <v>309</v>
      </c>
      <c r="C42" s="1271">
        <v>0</v>
      </c>
      <c r="D42" s="1271"/>
      <c r="E42" s="1271">
        <f>C42+D42</f>
        <v>0</v>
      </c>
      <c r="F42" s="1271"/>
      <c r="G42" s="1271">
        <f>E42+F42</f>
        <v>0</v>
      </c>
      <c r="H42" s="1271"/>
      <c r="I42" s="1271">
        <f>G42+H42</f>
        <v>0</v>
      </c>
      <c r="J42" s="1271"/>
      <c r="K42" s="1271">
        <f>I42+J42</f>
        <v>0</v>
      </c>
      <c r="L42" s="1274"/>
      <c r="M42" s="1274"/>
      <c r="N42" s="1257"/>
      <c r="O42" s="729">
        <f t="shared" si="0"/>
        <v>0</v>
      </c>
    </row>
    <row r="43" spans="1:15" s="730" customFormat="1" ht="21.95" customHeight="1" x14ac:dyDescent="0.2">
      <c r="A43" s="731"/>
      <c r="B43" s="732" t="s">
        <v>133</v>
      </c>
      <c r="C43" s="1495">
        <v>60000</v>
      </c>
      <c r="D43" s="1495"/>
      <c r="E43" s="1495">
        <f>C43+D43</f>
        <v>60000</v>
      </c>
      <c r="F43" s="1495"/>
      <c r="G43" s="1495">
        <f>E43+F43</f>
        <v>60000</v>
      </c>
      <c r="H43" s="1495"/>
      <c r="I43" s="1495">
        <f>G43+H43</f>
        <v>60000</v>
      </c>
      <c r="J43" s="1495"/>
      <c r="K43" s="1271">
        <f>I43+J43</f>
        <v>60000</v>
      </c>
      <c r="L43" s="1495">
        <v>60000</v>
      </c>
      <c r="M43" s="1274"/>
      <c r="N43" s="1257"/>
      <c r="O43" s="729">
        <f t="shared" si="0"/>
        <v>60000</v>
      </c>
    </row>
    <row r="44" spans="1:15" s="730" customFormat="1" ht="21.95" customHeight="1" x14ac:dyDescent="0.2">
      <c r="A44" s="731"/>
      <c r="B44" s="732" t="s">
        <v>51</v>
      </c>
      <c r="C44" s="1495">
        <v>0</v>
      </c>
      <c r="D44" s="1495"/>
      <c r="E44" s="1495">
        <f>C44+D44</f>
        <v>0</v>
      </c>
      <c r="F44" s="1495"/>
      <c r="G44" s="1495">
        <f>E44+F44</f>
        <v>0</v>
      </c>
      <c r="H44" s="1495"/>
      <c r="I44" s="1495">
        <f>G44+H44</f>
        <v>0</v>
      </c>
      <c r="J44" s="1495"/>
      <c r="K44" s="1271">
        <f>I44+J44</f>
        <v>0</v>
      </c>
      <c r="L44" s="1495">
        <v>0</v>
      </c>
      <c r="M44" s="1274"/>
      <c r="N44" s="1257"/>
      <c r="O44" s="729">
        <f t="shared" si="0"/>
        <v>0</v>
      </c>
    </row>
    <row r="45" spans="1:15" s="730" customFormat="1" ht="26.1" customHeight="1" x14ac:dyDescent="0.2">
      <c r="A45" s="731"/>
      <c r="B45" s="732" t="s">
        <v>180</v>
      </c>
      <c r="C45" s="1495">
        <f t="shared" ref="C45:N45" si="7">SUM(C41:C44)</f>
        <v>60000</v>
      </c>
      <c r="D45" s="1495">
        <f t="shared" si="7"/>
        <v>0</v>
      </c>
      <c r="E45" s="1495">
        <f t="shared" si="7"/>
        <v>60000</v>
      </c>
      <c r="F45" s="1495">
        <f t="shared" si="7"/>
        <v>0</v>
      </c>
      <c r="G45" s="1495">
        <f t="shared" si="7"/>
        <v>60000</v>
      </c>
      <c r="H45" s="1495">
        <f>SUM(H41:H44)</f>
        <v>0</v>
      </c>
      <c r="I45" s="1495">
        <f>SUM(I41:I44)</f>
        <v>60000</v>
      </c>
      <c r="J45" s="1495">
        <f>SUM(J41:J44)</f>
        <v>0</v>
      </c>
      <c r="K45" s="1495">
        <f>SUM(K41:K44)</f>
        <v>60000</v>
      </c>
      <c r="L45" s="1495">
        <f t="shared" si="7"/>
        <v>60000</v>
      </c>
      <c r="M45" s="1271">
        <f t="shared" si="7"/>
        <v>0</v>
      </c>
      <c r="N45" s="1275">
        <f t="shared" si="7"/>
        <v>0</v>
      </c>
      <c r="O45" s="729">
        <f t="shared" si="0"/>
        <v>60000</v>
      </c>
    </row>
    <row r="46" spans="1:15" s="730" customFormat="1" ht="26.1" customHeight="1" x14ac:dyDescent="0.2">
      <c r="A46" s="733" t="s">
        <v>68</v>
      </c>
      <c r="B46" s="734" t="s">
        <v>87</v>
      </c>
      <c r="C46" s="1642"/>
      <c r="D46" s="1642"/>
      <c r="E46" s="1642"/>
      <c r="F46" s="1642"/>
      <c r="G46" s="1642"/>
      <c r="H46" s="1642"/>
      <c r="I46" s="1642"/>
      <c r="J46" s="1642"/>
      <c r="K46" s="1642"/>
      <c r="L46" s="1643"/>
      <c r="M46" s="1643"/>
      <c r="N46" s="1644"/>
      <c r="O46" s="729"/>
    </row>
    <row r="47" spans="1:15" s="730" customFormat="1" ht="21.95" customHeight="1" x14ac:dyDescent="0.2">
      <c r="A47" s="731"/>
      <c r="B47" s="732" t="s">
        <v>41</v>
      </c>
      <c r="C47" s="1271">
        <v>0</v>
      </c>
      <c r="D47" s="1271"/>
      <c r="E47" s="1271">
        <f>C47+D47</f>
        <v>0</v>
      </c>
      <c r="F47" s="1271"/>
      <c r="G47" s="1271">
        <f>E47+F47</f>
        <v>0</v>
      </c>
      <c r="H47" s="1271"/>
      <c r="I47" s="1271">
        <f>G47+H47</f>
        <v>0</v>
      </c>
      <c r="J47" s="1271"/>
      <c r="K47" s="1271">
        <f>I47+J47</f>
        <v>0</v>
      </c>
      <c r="L47" s="1274"/>
      <c r="M47" s="1274"/>
      <c r="N47" s="1257"/>
      <c r="O47" s="729">
        <f t="shared" si="0"/>
        <v>0</v>
      </c>
    </row>
    <row r="48" spans="1:15" s="730" customFormat="1" ht="39" customHeight="1" x14ac:dyDescent="0.2">
      <c r="A48" s="731"/>
      <c r="B48" s="732" t="s">
        <v>309</v>
      </c>
      <c r="C48" s="1271">
        <v>0</v>
      </c>
      <c r="D48" s="1271"/>
      <c r="E48" s="1271">
        <f>C48+D48</f>
        <v>0</v>
      </c>
      <c r="F48" s="1271"/>
      <c r="G48" s="1271">
        <f>E48+F48</f>
        <v>0</v>
      </c>
      <c r="H48" s="1271"/>
      <c r="I48" s="1271">
        <f>G48+H48</f>
        <v>0</v>
      </c>
      <c r="J48" s="1271"/>
      <c r="K48" s="1271">
        <f>I48+J48</f>
        <v>0</v>
      </c>
      <c r="L48" s="1274"/>
      <c r="M48" s="1274"/>
      <c r="N48" s="1257"/>
      <c r="O48" s="729">
        <f t="shared" si="0"/>
        <v>0</v>
      </c>
    </row>
    <row r="49" spans="1:15" s="730" customFormat="1" ht="21.95" customHeight="1" x14ac:dyDescent="0.2">
      <c r="A49" s="731"/>
      <c r="B49" s="732" t="s">
        <v>133</v>
      </c>
      <c r="C49" s="1495">
        <v>13000</v>
      </c>
      <c r="D49" s="1495">
        <v>2206</v>
      </c>
      <c r="E49" s="1495">
        <f>C49+D49</f>
        <v>15206</v>
      </c>
      <c r="F49" s="1495"/>
      <c r="G49" s="1495">
        <f>E49+F49</f>
        <v>15206</v>
      </c>
      <c r="H49" s="1495"/>
      <c r="I49" s="1495">
        <f>G49+H49</f>
        <v>15206</v>
      </c>
      <c r="J49" s="1495"/>
      <c r="K49" s="1495">
        <f>I49+J49</f>
        <v>15206</v>
      </c>
      <c r="L49" s="1495">
        <f>13000+D49</f>
        <v>15206</v>
      </c>
      <c r="M49" s="1274"/>
      <c r="N49" s="1257"/>
      <c r="O49" s="729">
        <f t="shared" si="0"/>
        <v>15206</v>
      </c>
    </row>
    <row r="50" spans="1:15" s="730" customFormat="1" ht="21.95" customHeight="1" x14ac:dyDescent="0.2">
      <c r="A50" s="731"/>
      <c r="B50" s="732" t="s">
        <v>51</v>
      </c>
      <c r="C50" s="1498">
        <v>0</v>
      </c>
      <c r="D50" s="1498"/>
      <c r="E50" s="1495">
        <f>C50+D50</f>
        <v>0</v>
      </c>
      <c r="F50" s="1495"/>
      <c r="G50" s="1495">
        <f>E50+F50</f>
        <v>0</v>
      </c>
      <c r="H50" s="1495"/>
      <c r="I50" s="1495">
        <f>G50+H50</f>
        <v>0</v>
      </c>
      <c r="J50" s="1495"/>
      <c r="K50" s="1495">
        <f>I50+J50</f>
        <v>0</v>
      </c>
      <c r="L50" s="1498">
        <v>0</v>
      </c>
      <c r="M50" s="1274"/>
      <c r="N50" s="1257"/>
      <c r="O50" s="729">
        <f t="shared" si="0"/>
        <v>0</v>
      </c>
    </row>
    <row r="51" spans="1:15" s="730" customFormat="1" ht="26.1" customHeight="1" thickBot="1" x14ac:dyDescent="0.25">
      <c r="A51" s="749"/>
      <c r="B51" s="750" t="s">
        <v>180</v>
      </c>
      <c r="C51" s="1499">
        <f t="shared" ref="C51:N51" si="8">SUM(C47:C50)</f>
        <v>13000</v>
      </c>
      <c r="D51" s="1499">
        <f t="shared" si="8"/>
        <v>2206</v>
      </c>
      <c r="E51" s="1499">
        <f t="shared" si="8"/>
        <v>15206</v>
      </c>
      <c r="F51" s="1499">
        <f t="shared" si="8"/>
        <v>0</v>
      </c>
      <c r="G51" s="1499">
        <f t="shared" si="8"/>
        <v>15206</v>
      </c>
      <c r="H51" s="1499">
        <f>SUM(H47:H50)</f>
        <v>0</v>
      </c>
      <c r="I51" s="1499">
        <f>SUM(I47:I50)</f>
        <v>15206</v>
      </c>
      <c r="J51" s="1499">
        <f>SUM(J47:J50)</f>
        <v>0</v>
      </c>
      <c r="K51" s="1495">
        <f>I51+J51</f>
        <v>15206</v>
      </c>
      <c r="L51" s="1499">
        <f t="shared" si="8"/>
        <v>15206</v>
      </c>
      <c r="M51" s="1283">
        <f t="shared" si="8"/>
        <v>0</v>
      </c>
      <c r="N51" s="1273">
        <f t="shared" si="8"/>
        <v>0</v>
      </c>
      <c r="O51" s="729">
        <f t="shared" si="0"/>
        <v>15206</v>
      </c>
    </row>
    <row r="52" spans="1:15" s="730" customFormat="1" ht="23.1" customHeight="1" x14ac:dyDescent="0.2">
      <c r="A52" s="782" t="s">
        <v>69</v>
      </c>
      <c r="B52" s="783" t="s">
        <v>194</v>
      </c>
      <c r="C52" s="1646"/>
      <c r="D52" s="1646"/>
      <c r="E52" s="1646"/>
      <c r="F52" s="1646"/>
      <c r="G52" s="1646"/>
      <c r="H52" s="1646"/>
      <c r="I52" s="1646"/>
      <c r="J52" s="1646"/>
      <c r="K52" s="1646"/>
      <c r="L52" s="1647"/>
      <c r="M52" s="1647"/>
      <c r="N52" s="1648"/>
      <c r="O52" s="729"/>
    </row>
    <row r="53" spans="1:15" s="730" customFormat="1" ht="21" customHeight="1" x14ac:dyDescent="0.2">
      <c r="A53" s="731"/>
      <c r="B53" s="732" t="s">
        <v>41</v>
      </c>
      <c r="C53" s="1271">
        <v>0</v>
      </c>
      <c r="D53" s="1271"/>
      <c r="E53" s="1271">
        <f>C53+D53</f>
        <v>0</v>
      </c>
      <c r="F53" s="1271"/>
      <c r="G53" s="1271">
        <f>E53+F53</f>
        <v>0</v>
      </c>
      <c r="H53" s="1271"/>
      <c r="I53" s="1271">
        <f>G53+H53</f>
        <v>0</v>
      </c>
      <c r="J53" s="1271"/>
      <c r="K53" s="1271">
        <f>I53+J53</f>
        <v>0</v>
      </c>
      <c r="L53" s="1274"/>
      <c r="M53" s="1274"/>
      <c r="N53" s="1257"/>
      <c r="O53" s="729">
        <f t="shared" si="0"/>
        <v>0</v>
      </c>
    </row>
    <row r="54" spans="1:15" s="730" customFormat="1" ht="39" customHeight="1" x14ac:dyDescent="0.2">
      <c r="A54" s="731"/>
      <c r="B54" s="732" t="s">
        <v>309</v>
      </c>
      <c r="C54" s="1271">
        <v>0</v>
      </c>
      <c r="D54" s="1271"/>
      <c r="E54" s="1271">
        <f>C54+D54</f>
        <v>0</v>
      </c>
      <c r="F54" s="1271"/>
      <c r="G54" s="1271">
        <f>E54+F54</f>
        <v>0</v>
      </c>
      <c r="H54" s="1271"/>
      <c r="I54" s="1271">
        <f>G54+H54</f>
        <v>0</v>
      </c>
      <c r="J54" s="1271"/>
      <c r="K54" s="1271">
        <f>I54+J54</f>
        <v>0</v>
      </c>
      <c r="L54" s="1274"/>
      <c r="M54" s="1274"/>
      <c r="N54" s="1257"/>
      <c r="O54" s="729">
        <f t="shared" si="0"/>
        <v>0</v>
      </c>
    </row>
    <row r="55" spans="1:15" s="730" customFormat="1" ht="21" customHeight="1" x14ac:dyDescent="0.2">
      <c r="A55" s="731"/>
      <c r="B55" s="732" t="s">
        <v>133</v>
      </c>
      <c r="C55" s="1500">
        <v>500</v>
      </c>
      <c r="D55" s="1500">
        <v>1414</v>
      </c>
      <c r="E55" s="1495">
        <f>C55+D55</f>
        <v>1914</v>
      </c>
      <c r="F55" s="1495"/>
      <c r="G55" s="1495">
        <f>E55+F55</f>
        <v>1914</v>
      </c>
      <c r="H55" s="1495"/>
      <c r="I55" s="1495">
        <f>G55+H55</f>
        <v>1914</v>
      </c>
      <c r="J55" s="1495"/>
      <c r="K55" s="1271">
        <f>I55+J55</f>
        <v>1914</v>
      </c>
      <c r="L55" s="1500">
        <f>500+D55</f>
        <v>1914</v>
      </c>
      <c r="M55" s="1274"/>
      <c r="N55" s="1257"/>
      <c r="O55" s="729">
        <f t="shared" si="0"/>
        <v>1914</v>
      </c>
    </row>
    <row r="56" spans="1:15" s="730" customFormat="1" ht="21" customHeight="1" x14ac:dyDescent="0.2">
      <c r="A56" s="731"/>
      <c r="B56" s="732" t="s">
        <v>51</v>
      </c>
      <c r="C56" s="1495">
        <v>0</v>
      </c>
      <c r="D56" s="1495"/>
      <c r="E56" s="1495">
        <f>C56+D56</f>
        <v>0</v>
      </c>
      <c r="F56" s="1495"/>
      <c r="G56" s="1495">
        <f>E56+F56</f>
        <v>0</v>
      </c>
      <c r="H56" s="1495"/>
      <c r="I56" s="1495">
        <f>G56+H56</f>
        <v>0</v>
      </c>
      <c r="J56" s="1495"/>
      <c r="K56" s="1271">
        <f>I56+J56</f>
        <v>0</v>
      </c>
      <c r="L56" s="1495">
        <v>0</v>
      </c>
      <c r="M56" s="1274"/>
      <c r="N56" s="1257"/>
      <c r="O56" s="729">
        <f t="shared" si="0"/>
        <v>0</v>
      </c>
    </row>
    <row r="57" spans="1:15" s="730" customFormat="1" ht="21" customHeight="1" x14ac:dyDescent="0.2">
      <c r="A57" s="731"/>
      <c r="B57" s="732" t="s">
        <v>180</v>
      </c>
      <c r="C57" s="1495">
        <f t="shared" ref="C57:N57" si="9">SUM(C53:C56)</f>
        <v>500</v>
      </c>
      <c r="D57" s="1495">
        <f t="shared" si="9"/>
        <v>1414</v>
      </c>
      <c r="E57" s="1495">
        <f t="shared" si="9"/>
        <v>1914</v>
      </c>
      <c r="F57" s="1495">
        <f t="shared" si="9"/>
        <v>0</v>
      </c>
      <c r="G57" s="1495">
        <f t="shared" si="9"/>
        <v>1914</v>
      </c>
      <c r="H57" s="1495">
        <f>SUM(H53:H56)</f>
        <v>0</v>
      </c>
      <c r="I57" s="1495">
        <f>SUM(I53:I56)</f>
        <v>1914</v>
      </c>
      <c r="J57" s="1495">
        <f>SUM(J53:J56)</f>
        <v>0</v>
      </c>
      <c r="K57" s="1495">
        <f>SUM(K53:K56)</f>
        <v>1914</v>
      </c>
      <c r="L57" s="1495">
        <f t="shared" si="9"/>
        <v>1914</v>
      </c>
      <c r="M57" s="1271">
        <f t="shared" si="9"/>
        <v>0</v>
      </c>
      <c r="N57" s="1275">
        <f t="shared" si="9"/>
        <v>0</v>
      </c>
      <c r="O57" s="729">
        <f t="shared" si="0"/>
        <v>1914</v>
      </c>
    </row>
    <row r="58" spans="1:15" s="730" customFormat="1" ht="25.15" customHeight="1" x14ac:dyDescent="0.2">
      <c r="A58" s="733" t="s">
        <v>76</v>
      </c>
      <c r="B58" s="734" t="s">
        <v>88</v>
      </c>
      <c r="C58" s="1642"/>
      <c r="D58" s="1642"/>
      <c r="E58" s="1642"/>
      <c r="F58" s="1642"/>
      <c r="G58" s="1642"/>
      <c r="H58" s="1642"/>
      <c r="I58" s="1642"/>
      <c r="J58" s="1642"/>
      <c r="K58" s="1642"/>
      <c r="L58" s="1643"/>
      <c r="M58" s="1643"/>
      <c r="N58" s="1644"/>
      <c r="O58" s="729"/>
    </row>
    <row r="59" spans="1:15" s="730" customFormat="1" ht="21" customHeight="1" x14ac:dyDescent="0.2">
      <c r="A59" s="731"/>
      <c r="B59" s="732" t="s">
        <v>41</v>
      </c>
      <c r="C59" s="1271">
        <v>0</v>
      </c>
      <c r="D59" s="1271"/>
      <c r="E59" s="1271">
        <f>C59+D59</f>
        <v>0</v>
      </c>
      <c r="F59" s="1271"/>
      <c r="G59" s="1271">
        <f>E59+F59</f>
        <v>0</v>
      </c>
      <c r="H59" s="1271"/>
      <c r="I59" s="1271">
        <f>G59+H59</f>
        <v>0</v>
      </c>
      <c r="J59" s="1271"/>
      <c r="K59" s="1271">
        <f>I59+J59</f>
        <v>0</v>
      </c>
      <c r="L59" s="1274"/>
      <c r="M59" s="1274"/>
      <c r="N59" s="1257"/>
      <c r="O59" s="729">
        <f t="shared" si="0"/>
        <v>0</v>
      </c>
    </row>
    <row r="60" spans="1:15" s="730" customFormat="1" ht="39" customHeight="1" x14ac:dyDescent="0.2">
      <c r="A60" s="731"/>
      <c r="B60" s="732" t="s">
        <v>309</v>
      </c>
      <c r="C60" s="1271">
        <v>0</v>
      </c>
      <c r="D60" s="1271"/>
      <c r="E60" s="1271">
        <f>C60+D60</f>
        <v>0</v>
      </c>
      <c r="F60" s="1271"/>
      <c r="G60" s="1271">
        <f>E60+F60</f>
        <v>0</v>
      </c>
      <c r="H60" s="1271"/>
      <c r="I60" s="1271">
        <f>G60+H60</f>
        <v>0</v>
      </c>
      <c r="J60" s="1271"/>
      <c r="K60" s="1271">
        <f>I60+J60</f>
        <v>0</v>
      </c>
      <c r="L60" s="1274"/>
      <c r="M60" s="1274"/>
      <c r="N60" s="1257"/>
      <c r="O60" s="729">
        <f t="shared" si="0"/>
        <v>0</v>
      </c>
    </row>
    <row r="61" spans="1:15" s="730" customFormat="1" ht="21" customHeight="1" x14ac:dyDescent="0.2">
      <c r="A61" s="731"/>
      <c r="B61" s="732" t="s">
        <v>133</v>
      </c>
      <c r="C61" s="1495">
        <v>25100</v>
      </c>
      <c r="D61" s="1495">
        <v>952</v>
      </c>
      <c r="E61" s="1495">
        <f>C61+D61</f>
        <v>26052</v>
      </c>
      <c r="F61" s="1495"/>
      <c r="G61" s="1495">
        <f>E61+F61</f>
        <v>26052</v>
      </c>
      <c r="H61" s="1495"/>
      <c r="I61" s="1495">
        <f>G61+H61</f>
        <v>26052</v>
      </c>
      <c r="J61" s="1495"/>
      <c r="K61" s="1271">
        <f>I61+J61</f>
        <v>26052</v>
      </c>
      <c r="L61" s="1495">
        <f>25100+D61</f>
        <v>26052</v>
      </c>
      <c r="M61" s="1274"/>
      <c r="N61" s="1257"/>
      <c r="O61" s="729">
        <f t="shared" si="0"/>
        <v>26052</v>
      </c>
    </row>
    <row r="62" spans="1:15" s="730" customFormat="1" ht="21" customHeight="1" x14ac:dyDescent="0.2">
      <c r="A62" s="731"/>
      <c r="B62" s="732" t="s">
        <v>51</v>
      </c>
      <c r="C62" s="1495">
        <v>0</v>
      </c>
      <c r="D62" s="1495"/>
      <c r="E62" s="1495">
        <f>C62+D62</f>
        <v>0</v>
      </c>
      <c r="F62" s="1495"/>
      <c r="G62" s="1495">
        <f>E62+F62</f>
        <v>0</v>
      </c>
      <c r="H62" s="1495"/>
      <c r="I62" s="1495">
        <f>G62+H62</f>
        <v>0</v>
      </c>
      <c r="J62" s="1495"/>
      <c r="K62" s="1271">
        <f>I62+J62</f>
        <v>0</v>
      </c>
      <c r="L62" s="1495">
        <v>0</v>
      </c>
      <c r="M62" s="1274"/>
      <c r="N62" s="1257"/>
      <c r="O62" s="729">
        <f t="shared" si="0"/>
        <v>0</v>
      </c>
    </row>
    <row r="63" spans="1:15" s="730" customFormat="1" ht="21" customHeight="1" thickBot="1" x14ac:dyDescent="0.25">
      <c r="A63" s="735"/>
      <c r="B63" s="736" t="s">
        <v>180</v>
      </c>
      <c r="C63" s="1501">
        <f t="shared" ref="C63:N63" si="10">SUM(C59:C62)</f>
        <v>25100</v>
      </c>
      <c r="D63" s="1501">
        <f t="shared" si="10"/>
        <v>952</v>
      </c>
      <c r="E63" s="1501">
        <f t="shared" si="10"/>
        <v>26052</v>
      </c>
      <c r="F63" s="1501">
        <f t="shared" si="10"/>
        <v>0</v>
      </c>
      <c r="G63" s="1501">
        <f t="shared" si="10"/>
        <v>26052</v>
      </c>
      <c r="H63" s="1501">
        <f>SUM(H59:H62)</f>
        <v>0</v>
      </c>
      <c r="I63" s="1501">
        <f>SUM(I59:I62)</f>
        <v>26052</v>
      </c>
      <c r="J63" s="1501">
        <f>SUM(J59:J62)</f>
        <v>0</v>
      </c>
      <c r="K63" s="1501">
        <f>SUM(K59:K62)</f>
        <v>26052</v>
      </c>
      <c r="L63" s="1501">
        <f t="shared" si="10"/>
        <v>26052</v>
      </c>
      <c r="M63" s="1276">
        <f t="shared" si="10"/>
        <v>0</v>
      </c>
      <c r="N63" s="1277">
        <f t="shared" si="10"/>
        <v>0</v>
      </c>
      <c r="O63" s="729">
        <f t="shared" si="0"/>
        <v>26052</v>
      </c>
    </row>
    <row r="64" spans="1:15" s="738" customFormat="1" ht="42.95" customHeight="1" thickBot="1" x14ac:dyDescent="0.25">
      <c r="A64" s="724" t="s">
        <v>270</v>
      </c>
      <c r="B64" s="1665" t="s">
        <v>89</v>
      </c>
      <c r="C64" s="1666"/>
      <c r="D64" s="1666"/>
      <c r="E64" s="1666"/>
      <c r="F64" s="1666"/>
      <c r="G64" s="1666"/>
      <c r="H64" s="1666"/>
      <c r="I64" s="1666"/>
      <c r="J64" s="1666"/>
      <c r="K64" s="1666"/>
      <c r="L64" s="1666"/>
      <c r="M64" s="1666"/>
      <c r="N64" s="1667"/>
      <c r="O64" s="729"/>
    </row>
    <row r="65" spans="1:15" s="730" customFormat="1" ht="39" x14ac:dyDescent="0.2">
      <c r="A65" s="727" t="s">
        <v>61</v>
      </c>
      <c r="B65" s="739" t="s">
        <v>90</v>
      </c>
      <c r="C65" s="1649"/>
      <c r="D65" s="1649"/>
      <c r="E65" s="1649"/>
      <c r="F65" s="1649"/>
      <c r="G65" s="1649"/>
      <c r="H65" s="1649"/>
      <c r="I65" s="1649"/>
      <c r="J65" s="1649"/>
      <c r="K65" s="1649"/>
      <c r="L65" s="1650"/>
      <c r="M65" s="1650"/>
      <c r="N65" s="1651"/>
      <c r="O65" s="729"/>
    </row>
    <row r="66" spans="1:15" s="730" customFormat="1" ht="21" customHeight="1" x14ac:dyDescent="0.2">
      <c r="A66" s="731"/>
      <c r="B66" s="732" t="s">
        <v>41</v>
      </c>
      <c r="C66" s="1271">
        <v>0</v>
      </c>
      <c r="D66" s="1271"/>
      <c r="E66" s="1271">
        <f>C66+D66</f>
        <v>0</v>
      </c>
      <c r="F66" s="1271"/>
      <c r="G66" s="1271">
        <f>E66+F66</f>
        <v>0</v>
      </c>
      <c r="H66" s="1271"/>
      <c r="I66" s="1271">
        <f>G66+H66</f>
        <v>0</v>
      </c>
      <c r="J66" s="1271"/>
      <c r="K66" s="1271">
        <f>I66+J66</f>
        <v>0</v>
      </c>
      <c r="L66" s="1274"/>
      <c r="M66" s="1274"/>
      <c r="N66" s="1257"/>
      <c r="O66" s="729">
        <f t="shared" si="0"/>
        <v>0</v>
      </c>
    </row>
    <row r="67" spans="1:15" s="730" customFormat="1" ht="39" customHeight="1" x14ac:dyDescent="0.2">
      <c r="A67" s="731"/>
      <c r="B67" s="732" t="s">
        <v>309</v>
      </c>
      <c r="C67" s="1271">
        <v>0</v>
      </c>
      <c r="D67" s="1271"/>
      <c r="E67" s="1271">
        <f>C67+D67</f>
        <v>0</v>
      </c>
      <c r="F67" s="1271"/>
      <c r="G67" s="1271">
        <f>E67+F67</f>
        <v>0</v>
      </c>
      <c r="H67" s="1271"/>
      <c r="I67" s="1271">
        <f>G67+H67</f>
        <v>0</v>
      </c>
      <c r="J67" s="1271"/>
      <c r="K67" s="1271">
        <f>I67+J67</f>
        <v>0</v>
      </c>
      <c r="L67" s="1274"/>
      <c r="M67" s="1274"/>
      <c r="N67" s="1257"/>
      <c r="O67" s="729">
        <f t="shared" si="0"/>
        <v>0</v>
      </c>
    </row>
    <row r="68" spans="1:15" s="730" customFormat="1" ht="21" customHeight="1" x14ac:dyDescent="0.2">
      <c r="A68" s="731"/>
      <c r="B68" s="732" t="s">
        <v>133</v>
      </c>
      <c r="C68" s="1497">
        <v>51000</v>
      </c>
      <c r="D68" s="1497"/>
      <c r="E68" s="1495">
        <f>C68+D68</f>
        <v>51000</v>
      </c>
      <c r="F68" s="1495">
        <v>6840</v>
      </c>
      <c r="G68" s="1495">
        <f>E68+F68</f>
        <v>57840</v>
      </c>
      <c r="H68" s="1495">
        <v>16644</v>
      </c>
      <c r="I68" s="1495">
        <f>G68+H68</f>
        <v>74484</v>
      </c>
      <c r="J68" s="1495"/>
      <c r="K68" s="1271">
        <f>I68+J68</f>
        <v>74484</v>
      </c>
      <c r="L68" s="1502">
        <v>49484</v>
      </c>
      <c r="M68" s="1502">
        <v>25000</v>
      </c>
      <c r="N68" s="1257" t="s">
        <v>99</v>
      </c>
      <c r="O68" s="729"/>
    </row>
    <row r="69" spans="1:15" s="730" customFormat="1" ht="21" customHeight="1" x14ac:dyDescent="0.2">
      <c r="A69" s="731"/>
      <c r="B69" s="732" t="s">
        <v>51</v>
      </c>
      <c r="C69" s="1495">
        <v>0</v>
      </c>
      <c r="D69" s="1495"/>
      <c r="E69" s="1495">
        <f>C69+D69</f>
        <v>0</v>
      </c>
      <c r="F69" s="1495"/>
      <c r="G69" s="1495">
        <f>E69+F69</f>
        <v>0</v>
      </c>
      <c r="H69" s="1495"/>
      <c r="I69" s="1495">
        <f>G69+H69</f>
        <v>0</v>
      </c>
      <c r="J69" s="1495"/>
      <c r="K69" s="1271">
        <f>I69+J69</f>
        <v>0</v>
      </c>
      <c r="L69" s="1496"/>
      <c r="M69" s="1496"/>
      <c r="N69" s="1257"/>
      <c r="O69" s="729">
        <f t="shared" si="0"/>
        <v>0</v>
      </c>
    </row>
    <row r="70" spans="1:15" s="730" customFormat="1" ht="21" customHeight="1" x14ac:dyDescent="0.2">
      <c r="A70" s="731"/>
      <c r="B70" s="732" t="s">
        <v>180</v>
      </c>
      <c r="C70" s="1495">
        <f t="shared" ref="C70:N70" si="11">SUM(C66:C69)</f>
        <v>51000</v>
      </c>
      <c r="D70" s="1495">
        <f t="shared" si="11"/>
        <v>0</v>
      </c>
      <c r="E70" s="1495">
        <f t="shared" si="11"/>
        <v>51000</v>
      </c>
      <c r="F70" s="1495">
        <f t="shared" si="11"/>
        <v>6840</v>
      </c>
      <c r="G70" s="1495">
        <f t="shared" si="11"/>
        <v>57840</v>
      </c>
      <c r="H70" s="1495">
        <f>SUM(H66:H69)</f>
        <v>16644</v>
      </c>
      <c r="I70" s="1495">
        <f>SUM(I66:I69)</f>
        <v>74484</v>
      </c>
      <c r="J70" s="1495">
        <f>SUM(J66:J69)</f>
        <v>0</v>
      </c>
      <c r="K70" s="1495">
        <f>SUM(K66:K69)</f>
        <v>74484</v>
      </c>
      <c r="L70" s="1495">
        <f t="shared" si="11"/>
        <v>49484</v>
      </c>
      <c r="M70" s="1495">
        <f t="shared" si="11"/>
        <v>25000</v>
      </c>
      <c r="N70" s="1275">
        <f t="shared" si="11"/>
        <v>0</v>
      </c>
      <c r="O70" s="729">
        <f t="shared" ref="O70:O133" si="12">L70+M70+N70</f>
        <v>74484</v>
      </c>
    </row>
    <row r="71" spans="1:15" s="730" customFormat="1" ht="25.15" customHeight="1" x14ac:dyDescent="0.2">
      <c r="A71" s="733" t="s">
        <v>62</v>
      </c>
      <c r="B71" s="734" t="s">
        <v>91</v>
      </c>
      <c r="C71" s="1642"/>
      <c r="D71" s="1642"/>
      <c r="E71" s="1642"/>
      <c r="F71" s="1642"/>
      <c r="G71" s="1642"/>
      <c r="H71" s="1642"/>
      <c r="I71" s="1642"/>
      <c r="J71" s="1642"/>
      <c r="K71" s="1642"/>
      <c r="L71" s="1643"/>
      <c r="M71" s="1643"/>
      <c r="N71" s="1644"/>
      <c r="O71" s="729"/>
    </row>
    <row r="72" spans="1:15" s="730" customFormat="1" ht="21" customHeight="1" x14ac:dyDescent="0.2">
      <c r="A72" s="731"/>
      <c r="B72" s="732" t="s">
        <v>41</v>
      </c>
      <c r="C72" s="1271">
        <v>0</v>
      </c>
      <c r="D72" s="1271"/>
      <c r="E72" s="1271">
        <f>C72+D72</f>
        <v>0</v>
      </c>
      <c r="F72" s="1271"/>
      <c r="G72" s="1271">
        <f>E72+F72</f>
        <v>0</v>
      </c>
      <c r="H72" s="1271"/>
      <c r="I72" s="1271">
        <f>G72+H72</f>
        <v>0</v>
      </c>
      <c r="J72" s="1271"/>
      <c r="K72" s="1271">
        <f>I72+J72</f>
        <v>0</v>
      </c>
      <c r="L72" s="1271">
        <v>0</v>
      </c>
      <c r="M72" s="1274"/>
      <c r="N72" s="1257"/>
      <c r="O72" s="729">
        <f t="shared" si="12"/>
        <v>0</v>
      </c>
    </row>
    <row r="73" spans="1:15" s="730" customFormat="1" ht="39" customHeight="1" x14ac:dyDescent="0.2">
      <c r="A73" s="731"/>
      <c r="B73" s="732" t="s">
        <v>309</v>
      </c>
      <c r="C73" s="1271">
        <v>0</v>
      </c>
      <c r="D73" s="1271"/>
      <c r="E73" s="1271">
        <f>C73+D73</f>
        <v>0</v>
      </c>
      <c r="F73" s="1271"/>
      <c r="G73" s="1271">
        <f>E73+F73</f>
        <v>0</v>
      </c>
      <c r="H73" s="1271"/>
      <c r="I73" s="1271">
        <f>G73+H73</f>
        <v>0</v>
      </c>
      <c r="J73" s="1271"/>
      <c r="K73" s="1271">
        <f>I73+J73</f>
        <v>0</v>
      </c>
      <c r="L73" s="1271">
        <v>0</v>
      </c>
      <c r="M73" s="1274"/>
      <c r="N73" s="1257"/>
      <c r="O73" s="729">
        <f t="shared" si="12"/>
        <v>0</v>
      </c>
    </row>
    <row r="74" spans="1:15" s="730" customFormat="1" ht="21" customHeight="1" x14ac:dyDescent="0.2">
      <c r="A74" s="731"/>
      <c r="B74" s="732" t="s">
        <v>133</v>
      </c>
      <c r="C74" s="1495">
        <v>3000</v>
      </c>
      <c r="D74" s="1495"/>
      <c r="E74" s="1495">
        <f>C74+D74</f>
        <v>3000</v>
      </c>
      <c r="F74" s="1495"/>
      <c r="G74" s="1495">
        <f>E74+F74</f>
        <v>3000</v>
      </c>
      <c r="H74" s="1495"/>
      <c r="I74" s="1495">
        <f>G74+H74</f>
        <v>3000</v>
      </c>
      <c r="J74" s="1495"/>
      <c r="K74" s="1271">
        <f>I74+J74</f>
        <v>3000</v>
      </c>
      <c r="L74" s="1495">
        <v>3000</v>
      </c>
      <c r="M74" s="1274"/>
      <c r="N74" s="1257"/>
      <c r="O74" s="729">
        <f t="shared" si="12"/>
        <v>3000</v>
      </c>
    </row>
    <row r="75" spans="1:15" s="730" customFormat="1" ht="21" customHeight="1" x14ac:dyDescent="0.2">
      <c r="A75" s="731"/>
      <c r="B75" s="732" t="s">
        <v>51</v>
      </c>
      <c r="C75" s="1495">
        <v>0</v>
      </c>
      <c r="D75" s="1495"/>
      <c r="E75" s="1495">
        <f>C75+D75</f>
        <v>0</v>
      </c>
      <c r="F75" s="1495"/>
      <c r="G75" s="1495">
        <f>E75+F75</f>
        <v>0</v>
      </c>
      <c r="H75" s="1495"/>
      <c r="I75" s="1495">
        <f>G75+H75</f>
        <v>0</v>
      </c>
      <c r="J75" s="1495"/>
      <c r="K75" s="1271">
        <f>I75+J75</f>
        <v>0</v>
      </c>
      <c r="L75" s="1495">
        <v>0</v>
      </c>
      <c r="M75" s="1274"/>
      <c r="N75" s="1257"/>
      <c r="O75" s="729">
        <f t="shared" si="12"/>
        <v>0</v>
      </c>
    </row>
    <row r="76" spans="1:15" s="730" customFormat="1" ht="21" customHeight="1" thickBot="1" x14ac:dyDescent="0.25">
      <c r="A76" s="735"/>
      <c r="B76" s="736" t="s">
        <v>180</v>
      </c>
      <c r="C76" s="1501">
        <f t="shared" ref="C76:N76" si="13">SUM(C72:C75)</f>
        <v>3000</v>
      </c>
      <c r="D76" s="1501">
        <f t="shared" si="13"/>
        <v>0</v>
      </c>
      <c r="E76" s="1501">
        <f t="shared" si="13"/>
        <v>3000</v>
      </c>
      <c r="F76" s="1501">
        <f t="shared" si="13"/>
        <v>0</v>
      </c>
      <c r="G76" s="1501">
        <f t="shared" si="13"/>
        <v>3000</v>
      </c>
      <c r="H76" s="1501">
        <f>SUM(H72:H75)</f>
        <v>0</v>
      </c>
      <c r="I76" s="1501">
        <f>SUM(I72:I75)</f>
        <v>3000</v>
      </c>
      <c r="J76" s="1501">
        <f>SUM(J72:J75)</f>
        <v>0</v>
      </c>
      <c r="K76" s="1501">
        <f>SUM(K72:K75)</f>
        <v>3000</v>
      </c>
      <c r="L76" s="1501">
        <f t="shared" si="13"/>
        <v>3000</v>
      </c>
      <c r="M76" s="1276">
        <f t="shared" si="13"/>
        <v>0</v>
      </c>
      <c r="N76" s="1277">
        <f t="shared" si="13"/>
        <v>0</v>
      </c>
      <c r="O76" s="729">
        <f t="shared" si="12"/>
        <v>3000</v>
      </c>
    </row>
    <row r="77" spans="1:15" s="740" customFormat="1" ht="29.25" customHeight="1" thickBot="1" x14ac:dyDescent="0.25">
      <c r="A77" s="724" t="s">
        <v>271</v>
      </c>
      <c r="B77" s="737" t="s">
        <v>92</v>
      </c>
      <c r="C77" s="1670"/>
      <c r="D77" s="1671"/>
      <c r="E77" s="1671"/>
      <c r="F77" s="1671"/>
      <c r="G77" s="1671"/>
      <c r="H77" s="1671"/>
      <c r="I77" s="1671"/>
      <c r="J77" s="1671"/>
      <c r="K77" s="1671"/>
      <c r="L77" s="1672"/>
      <c r="M77" s="1672"/>
      <c r="N77" s="1673"/>
      <c r="O77" s="729"/>
    </row>
    <row r="78" spans="1:15" s="730" customFormat="1" ht="25.15" customHeight="1" x14ac:dyDescent="0.2">
      <c r="A78" s="727" t="s">
        <v>61</v>
      </c>
      <c r="B78" s="739" t="s">
        <v>582</v>
      </c>
      <c r="C78" s="1649"/>
      <c r="D78" s="1649"/>
      <c r="E78" s="1649"/>
      <c r="F78" s="1649"/>
      <c r="G78" s="1649"/>
      <c r="H78" s="1649"/>
      <c r="I78" s="1649"/>
      <c r="J78" s="1649"/>
      <c r="K78" s="1649"/>
      <c r="L78" s="1650"/>
      <c r="M78" s="1650"/>
      <c r="N78" s="1651"/>
      <c r="O78" s="729"/>
    </row>
    <row r="79" spans="1:15" s="730" customFormat="1" ht="21" customHeight="1" x14ac:dyDescent="0.2">
      <c r="A79" s="731"/>
      <c r="B79" s="732" t="s">
        <v>41</v>
      </c>
      <c r="C79" s="1271">
        <v>0</v>
      </c>
      <c r="D79" s="1271">
        <f>313+49052+4505</f>
        <v>53870</v>
      </c>
      <c r="E79" s="1271">
        <v>78826</v>
      </c>
      <c r="F79" s="1271">
        <v>4115</v>
      </c>
      <c r="G79" s="1495">
        <f>E79+F79</f>
        <v>82941</v>
      </c>
      <c r="H79" s="1495">
        <v>581</v>
      </c>
      <c r="I79" s="1495">
        <f>G79+H79</f>
        <v>83522</v>
      </c>
      <c r="J79" s="1495"/>
      <c r="K79" s="1495">
        <f>I79+J79</f>
        <v>83522</v>
      </c>
      <c r="L79" s="1495">
        <v>83522</v>
      </c>
      <c r="M79" s="1274"/>
      <c r="N79" s="1257"/>
      <c r="O79" s="729">
        <f t="shared" si="12"/>
        <v>83522</v>
      </c>
    </row>
    <row r="80" spans="1:15" s="730" customFormat="1" ht="39" customHeight="1" x14ac:dyDescent="0.2">
      <c r="A80" s="731"/>
      <c r="B80" s="732" t="s">
        <v>309</v>
      </c>
      <c r="C80" s="1271">
        <v>0</v>
      </c>
      <c r="D80" s="1271">
        <f>122+6622+495</f>
        <v>7239</v>
      </c>
      <c r="E80" s="1271">
        <v>12019</v>
      </c>
      <c r="F80" s="1271">
        <v>135</v>
      </c>
      <c r="G80" s="1495">
        <f>E80+F80</f>
        <v>12154</v>
      </c>
      <c r="H80" s="1495"/>
      <c r="I80" s="1495">
        <f>G80+H80</f>
        <v>12154</v>
      </c>
      <c r="J80" s="1495"/>
      <c r="K80" s="1495">
        <f>I80+J80</f>
        <v>12154</v>
      </c>
      <c r="L80" s="1496">
        <v>12154</v>
      </c>
      <c r="M80" s="1274"/>
      <c r="N80" s="1257"/>
      <c r="O80" s="729">
        <f t="shared" si="12"/>
        <v>12154</v>
      </c>
    </row>
    <row r="81" spans="1:98" s="730" customFormat="1" ht="21" customHeight="1" x14ac:dyDescent="0.2">
      <c r="A81" s="731"/>
      <c r="B81" s="732" t="s">
        <v>133</v>
      </c>
      <c r="C81" s="1271">
        <v>0</v>
      </c>
      <c r="D81" s="1271"/>
      <c r="E81" s="1271">
        <f>C81+D81</f>
        <v>0</v>
      </c>
      <c r="F81" s="1271"/>
      <c r="G81" s="1495">
        <f>E81+F81</f>
        <v>0</v>
      </c>
      <c r="H81" s="1495">
        <v>403</v>
      </c>
      <c r="I81" s="1495">
        <f>G81+H81</f>
        <v>403</v>
      </c>
      <c r="J81" s="1495"/>
      <c r="K81" s="1495">
        <f>I81+J81</f>
        <v>403</v>
      </c>
      <c r="L81" s="1496">
        <v>403</v>
      </c>
      <c r="M81" s="1274"/>
      <c r="N81" s="1257"/>
      <c r="O81" s="729">
        <f t="shared" si="12"/>
        <v>403</v>
      </c>
    </row>
    <row r="82" spans="1:98" s="730" customFormat="1" ht="21" customHeight="1" x14ac:dyDescent="0.2">
      <c r="A82" s="731"/>
      <c r="B82" s="732" t="s">
        <v>51</v>
      </c>
      <c r="C82" s="1271">
        <v>0</v>
      </c>
      <c r="D82" s="1271"/>
      <c r="E82" s="1271">
        <f>C82+D82</f>
        <v>0</v>
      </c>
      <c r="F82" s="1271"/>
      <c r="G82" s="1495">
        <f>E82+F82</f>
        <v>0</v>
      </c>
      <c r="H82" s="1495"/>
      <c r="I82" s="1495">
        <f>G82+H82</f>
        <v>0</v>
      </c>
      <c r="J82" s="1495"/>
      <c r="K82" s="1495">
        <f>I82+J82</f>
        <v>0</v>
      </c>
      <c r="L82" s="1496"/>
      <c r="M82" s="1274"/>
      <c r="N82" s="1257"/>
      <c r="O82" s="729">
        <f t="shared" si="12"/>
        <v>0</v>
      </c>
    </row>
    <row r="83" spans="1:98" s="730" customFormat="1" ht="21" customHeight="1" x14ac:dyDescent="0.2">
      <c r="A83" s="731"/>
      <c r="B83" s="732" t="s">
        <v>180</v>
      </c>
      <c r="C83" s="1271">
        <f t="shared" ref="C83:N83" si="14">SUM(C79:C82)</f>
        <v>0</v>
      </c>
      <c r="D83" s="1271">
        <f t="shared" si="14"/>
        <v>61109</v>
      </c>
      <c r="E83" s="1271">
        <f t="shared" si="14"/>
        <v>90845</v>
      </c>
      <c r="F83" s="1271">
        <f t="shared" si="14"/>
        <v>4250</v>
      </c>
      <c r="G83" s="1495">
        <f t="shared" si="14"/>
        <v>95095</v>
      </c>
      <c r="H83" s="1495">
        <f>SUM(H79:H82)</f>
        <v>984</v>
      </c>
      <c r="I83" s="1495">
        <f>SUM(I79:I82)</f>
        <v>96079</v>
      </c>
      <c r="J83" s="1495">
        <f>SUM(J79:J82)</f>
        <v>0</v>
      </c>
      <c r="K83" s="1495">
        <f>SUM(K79:K82)</f>
        <v>96079</v>
      </c>
      <c r="L83" s="1495">
        <f t="shared" si="14"/>
        <v>96079</v>
      </c>
      <c r="M83" s="1271">
        <f t="shared" si="14"/>
        <v>0</v>
      </c>
      <c r="N83" s="1275">
        <f t="shared" si="14"/>
        <v>0</v>
      </c>
      <c r="O83" s="729">
        <f t="shared" si="12"/>
        <v>96079</v>
      </c>
    </row>
    <row r="84" spans="1:98" s="730" customFormat="1" ht="23.25" customHeight="1" x14ac:dyDescent="0.2">
      <c r="A84" s="733" t="s">
        <v>62</v>
      </c>
      <c r="B84" s="734" t="s">
        <v>95</v>
      </c>
      <c r="C84" s="1645"/>
      <c r="D84" s="1645"/>
      <c r="E84" s="1645"/>
      <c r="F84" s="1645"/>
      <c r="G84" s="1645"/>
      <c r="H84" s="1645"/>
      <c r="I84" s="1645"/>
      <c r="J84" s="1645"/>
      <c r="K84" s="1645"/>
      <c r="L84" s="1643"/>
      <c r="M84" s="1643"/>
      <c r="N84" s="1644"/>
      <c r="O84" s="729"/>
    </row>
    <row r="85" spans="1:98" s="730" customFormat="1" ht="21" customHeight="1" x14ac:dyDescent="0.2">
      <c r="A85" s="731"/>
      <c r="B85" s="732" t="s">
        <v>41</v>
      </c>
      <c r="C85" s="1271">
        <v>0</v>
      </c>
      <c r="D85" s="1271"/>
      <c r="E85" s="1271">
        <f>C85+D85</f>
        <v>0</v>
      </c>
      <c r="F85" s="1271"/>
      <c r="G85" s="1271">
        <f>E85+F85</f>
        <v>0</v>
      </c>
      <c r="H85" s="1271"/>
      <c r="I85" s="1271">
        <f>G85+H85</f>
        <v>0</v>
      </c>
      <c r="J85" s="1271"/>
      <c r="K85" s="1271">
        <f>I85+J85</f>
        <v>0</v>
      </c>
      <c r="L85" s="1274"/>
      <c r="M85" s="1274"/>
      <c r="N85" s="1257"/>
      <c r="O85" s="729">
        <f t="shared" si="12"/>
        <v>0</v>
      </c>
    </row>
    <row r="86" spans="1:98" s="730" customFormat="1" ht="39" customHeight="1" x14ac:dyDescent="0.2">
      <c r="A86" s="731"/>
      <c r="B86" s="732" t="s">
        <v>309</v>
      </c>
      <c r="C86" s="1271">
        <v>0</v>
      </c>
      <c r="D86" s="1271"/>
      <c r="E86" s="1271">
        <f>C86+D86</f>
        <v>0</v>
      </c>
      <c r="F86" s="1271"/>
      <c r="G86" s="1271">
        <f>E86+F86</f>
        <v>0</v>
      </c>
      <c r="H86" s="1271"/>
      <c r="I86" s="1271">
        <f>G86+H86</f>
        <v>0</v>
      </c>
      <c r="J86" s="1271"/>
      <c r="K86" s="1271">
        <f>I86+J86</f>
        <v>0</v>
      </c>
      <c r="L86" s="1274"/>
      <c r="M86" s="1274"/>
      <c r="N86" s="1257"/>
      <c r="O86" s="729">
        <f t="shared" si="12"/>
        <v>0</v>
      </c>
    </row>
    <row r="87" spans="1:98" s="730" customFormat="1" ht="21" customHeight="1" x14ac:dyDescent="0.2">
      <c r="A87" s="731"/>
      <c r="B87" s="732" t="s">
        <v>133</v>
      </c>
      <c r="C87" s="1495">
        <v>8500</v>
      </c>
      <c r="D87" s="1495"/>
      <c r="E87" s="1495">
        <v>24996</v>
      </c>
      <c r="F87" s="1495">
        <v>4824</v>
      </c>
      <c r="G87" s="1495">
        <f>E87+F87</f>
        <v>29820</v>
      </c>
      <c r="H87" s="1495">
        <v>7000</v>
      </c>
      <c r="I87" s="1495">
        <f>G87+H87</f>
        <v>36820</v>
      </c>
      <c r="J87" s="1495"/>
      <c r="K87" s="1271">
        <f>I87+J87</f>
        <v>36820</v>
      </c>
      <c r="L87" s="1495">
        <v>36820</v>
      </c>
      <c r="M87" s="1274"/>
      <c r="N87" s="1257"/>
      <c r="O87" s="729">
        <f t="shared" si="12"/>
        <v>36820</v>
      </c>
    </row>
    <row r="88" spans="1:98" s="730" customFormat="1" ht="21" customHeight="1" x14ac:dyDescent="0.2">
      <c r="A88" s="731"/>
      <c r="B88" s="732" t="s">
        <v>51</v>
      </c>
      <c r="C88" s="1495">
        <v>0</v>
      </c>
      <c r="D88" s="1495"/>
      <c r="E88" s="1495">
        <f>C88+D88</f>
        <v>0</v>
      </c>
      <c r="F88" s="1495"/>
      <c r="G88" s="1495">
        <f>E88+F88</f>
        <v>0</v>
      </c>
      <c r="H88" s="1495"/>
      <c r="I88" s="1495">
        <f>G88+H88</f>
        <v>0</v>
      </c>
      <c r="J88" s="1495"/>
      <c r="K88" s="1271">
        <f>I88+J88</f>
        <v>0</v>
      </c>
      <c r="L88" s="1495">
        <v>0</v>
      </c>
      <c r="M88" s="1274"/>
      <c r="N88" s="1257"/>
      <c r="O88" s="729">
        <f t="shared" si="12"/>
        <v>0</v>
      </c>
    </row>
    <row r="89" spans="1:98" s="730" customFormat="1" ht="21" customHeight="1" x14ac:dyDescent="0.2">
      <c r="A89" s="731"/>
      <c r="B89" s="732" t="s">
        <v>180</v>
      </c>
      <c r="C89" s="1495">
        <f t="shared" ref="C89:N89" si="15">SUM(C85:C88)</f>
        <v>8500</v>
      </c>
      <c r="D89" s="1495">
        <f t="shared" si="15"/>
        <v>0</v>
      </c>
      <c r="E89" s="1495">
        <f t="shared" si="15"/>
        <v>24996</v>
      </c>
      <c r="F89" s="1495">
        <f t="shared" si="15"/>
        <v>4824</v>
      </c>
      <c r="G89" s="1495">
        <f t="shared" si="15"/>
        <v>29820</v>
      </c>
      <c r="H89" s="1495">
        <f>SUM(H85:H88)</f>
        <v>7000</v>
      </c>
      <c r="I89" s="1495">
        <f>SUM(I85:I88)</f>
        <v>36820</v>
      </c>
      <c r="J89" s="1495">
        <f>SUM(J85:J88)</f>
        <v>0</v>
      </c>
      <c r="K89" s="1495">
        <f>SUM(K85:K88)</f>
        <v>36820</v>
      </c>
      <c r="L89" s="1495">
        <f t="shared" si="15"/>
        <v>36820</v>
      </c>
      <c r="M89" s="1271">
        <f t="shared" si="15"/>
        <v>0</v>
      </c>
      <c r="N89" s="1275">
        <f t="shared" si="15"/>
        <v>0</v>
      </c>
      <c r="O89" s="729">
        <f t="shared" si="12"/>
        <v>36820</v>
      </c>
    </row>
    <row r="90" spans="1:98" s="730" customFormat="1" ht="22.5" customHeight="1" x14ac:dyDescent="0.2">
      <c r="A90" s="733" t="s">
        <v>63</v>
      </c>
      <c r="B90" s="734" t="s">
        <v>96</v>
      </c>
      <c r="C90" s="1642"/>
      <c r="D90" s="1642"/>
      <c r="E90" s="1642"/>
      <c r="F90" s="1642"/>
      <c r="G90" s="1642"/>
      <c r="H90" s="1642"/>
      <c r="I90" s="1642"/>
      <c r="J90" s="1642"/>
      <c r="K90" s="1642"/>
      <c r="L90" s="1643"/>
      <c r="M90" s="1643"/>
      <c r="N90" s="1644"/>
      <c r="O90" s="729"/>
    </row>
    <row r="91" spans="1:98" s="730" customFormat="1" ht="19.899999999999999" customHeight="1" x14ac:dyDescent="0.2">
      <c r="A91" s="731"/>
      <c r="B91" s="732" t="s">
        <v>41</v>
      </c>
      <c r="C91" s="1271">
        <v>0</v>
      </c>
      <c r="D91" s="1271"/>
      <c r="E91" s="1271">
        <f>C91+D91</f>
        <v>0</v>
      </c>
      <c r="F91" s="1271"/>
      <c r="G91" s="1271">
        <f>E91+F91</f>
        <v>0</v>
      </c>
      <c r="H91" s="1271"/>
      <c r="I91" s="1271">
        <f>G91+H91</f>
        <v>0</v>
      </c>
      <c r="J91" s="1271"/>
      <c r="K91" s="1271">
        <f>I91+J91</f>
        <v>0</v>
      </c>
      <c r="L91" s="1274"/>
      <c r="M91" s="1274"/>
      <c r="N91" s="1257"/>
      <c r="O91" s="729">
        <f t="shared" si="12"/>
        <v>0</v>
      </c>
    </row>
    <row r="92" spans="1:98" s="730" customFormat="1" ht="38.25" customHeight="1" x14ac:dyDescent="0.2">
      <c r="A92" s="731"/>
      <c r="B92" s="732" t="s">
        <v>309</v>
      </c>
      <c r="C92" s="1271">
        <v>0</v>
      </c>
      <c r="D92" s="1271"/>
      <c r="E92" s="1271">
        <f>C92+D92</f>
        <v>0</v>
      </c>
      <c r="F92" s="1271"/>
      <c r="G92" s="1271">
        <f>E92+F92</f>
        <v>0</v>
      </c>
      <c r="H92" s="1271"/>
      <c r="I92" s="1271">
        <f>G92+H92</f>
        <v>0</v>
      </c>
      <c r="J92" s="1271"/>
      <c r="K92" s="1271">
        <f>I92+J92</f>
        <v>0</v>
      </c>
      <c r="L92" s="1274"/>
      <c r="M92" s="1274"/>
      <c r="N92" s="1257"/>
      <c r="O92" s="729">
        <f t="shared" si="12"/>
        <v>0</v>
      </c>
    </row>
    <row r="93" spans="1:98" s="730" customFormat="1" ht="19.899999999999999" customHeight="1" x14ac:dyDescent="0.2">
      <c r="A93" s="731"/>
      <c r="B93" s="732" t="s">
        <v>133</v>
      </c>
      <c r="C93" s="1503">
        <v>1500</v>
      </c>
      <c r="D93" s="1503"/>
      <c r="E93" s="1495">
        <f>C93+D93</f>
        <v>1500</v>
      </c>
      <c r="F93" s="1495"/>
      <c r="G93" s="1495">
        <f>E93+F93</f>
        <v>1500</v>
      </c>
      <c r="H93" s="1495">
        <v>1000</v>
      </c>
      <c r="I93" s="1495">
        <f>G93+H93</f>
        <v>2500</v>
      </c>
      <c r="J93" s="1495"/>
      <c r="K93" s="1271">
        <f>I93+J93</f>
        <v>2500</v>
      </c>
      <c r="L93" s="1503">
        <v>2500</v>
      </c>
      <c r="M93" s="1496">
        <v>0</v>
      </c>
      <c r="N93" s="1257"/>
      <c r="O93" s="729">
        <f t="shared" si="12"/>
        <v>2500</v>
      </c>
    </row>
    <row r="94" spans="1:98" s="730" customFormat="1" ht="19.899999999999999" customHeight="1" x14ac:dyDescent="0.2">
      <c r="A94" s="731"/>
      <c r="B94" s="732" t="s">
        <v>51</v>
      </c>
      <c r="C94" s="1503">
        <f>'15'!C13</f>
        <v>46000</v>
      </c>
      <c r="D94" s="1503"/>
      <c r="E94" s="1495">
        <v>46100</v>
      </c>
      <c r="F94" s="1495">
        <f>'15'!L13</f>
        <v>8093</v>
      </c>
      <c r="G94" s="1495">
        <f>E94+F94</f>
        <v>54193</v>
      </c>
      <c r="H94" s="1495">
        <f>'15'!N13</f>
        <v>12383</v>
      </c>
      <c r="I94" s="1495">
        <f>G94+H94</f>
        <v>66576</v>
      </c>
      <c r="J94" s="1495">
        <f>'15'!P13</f>
        <v>0</v>
      </c>
      <c r="K94" s="1271">
        <f>I94+J94</f>
        <v>66576</v>
      </c>
      <c r="L94" s="1503">
        <f>'15'!R13</f>
        <v>58576</v>
      </c>
      <c r="M94" s="1496">
        <f>'15'!S13</f>
        <v>8000</v>
      </c>
      <c r="N94" s="1257"/>
      <c r="O94" s="729">
        <f t="shared" si="12"/>
        <v>66576</v>
      </c>
    </row>
    <row r="95" spans="1:98" s="730" customFormat="1" ht="21" customHeight="1" thickBot="1" x14ac:dyDescent="0.25">
      <c r="A95" s="735"/>
      <c r="B95" s="736" t="s">
        <v>180</v>
      </c>
      <c r="C95" s="1504">
        <f t="shared" ref="C95:N95" si="16">SUM(C91:C94)</f>
        <v>47500</v>
      </c>
      <c r="D95" s="1504">
        <f t="shared" si="16"/>
        <v>0</v>
      </c>
      <c r="E95" s="1504">
        <f t="shared" si="16"/>
        <v>47600</v>
      </c>
      <c r="F95" s="1504">
        <f t="shared" si="16"/>
        <v>8093</v>
      </c>
      <c r="G95" s="1504">
        <f t="shared" si="16"/>
        <v>55693</v>
      </c>
      <c r="H95" s="1504">
        <f>SUM(H91:H94)</f>
        <v>13383</v>
      </c>
      <c r="I95" s="1504">
        <f>SUM(I91:I94)</f>
        <v>69076</v>
      </c>
      <c r="J95" s="1504">
        <f>SUM(J91:J94)</f>
        <v>0</v>
      </c>
      <c r="K95" s="1504">
        <f>SUM(K91:K94)</f>
        <v>69076</v>
      </c>
      <c r="L95" s="1504">
        <f t="shared" si="16"/>
        <v>61076</v>
      </c>
      <c r="M95" s="1504">
        <f t="shared" si="16"/>
        <v>8000</v>
      </c>
      <c r="N95" s="1284">
        <f t="shared" si="16"/>
        <v>0</v>
      </c>
      <c r="O95" s="729">
        <f t="shared" si="12"/>
        <v>69076</v>
      </c>
    </row>
    <row r="96" spans="1:98" s="741" customFormat="1" ht="28.5" customHeight="1" thickBot="1" x14ac:dyDescent="0.25">
      <c r="A96" s="724" t="s">
        <v>272</v>
      </c>
      <c r="B96" s="737" t="s">
        <v>100</v>
      </c>
      <c r="C96" s="1670"/>
      <c r="D96" s="1671"/>
      <c r="E96" s="1671"/>
      <c r="F96" s="1671"/>
      <c r="G96" s="1671"/>
      <c r="H96" s="1671"/>
      <c r="I96" s="1671"/>
      <c r="J96" s="1671"/>
      <c r="K96" s="1671"/>
      <c r="L96" s="1672"/>
      <c r="M96" s="1672"/>
      <c r="N96" s="1673"/>
      <c r="O96" s="729"/>
      <c r="P96" s="738"/>
      <c r="Q96" s="738"/>
      <c r="R96" s="738"/>
      <c r="S96" s="738"/>
      <c r="T96" s="738"/>
      <c r="U96" s="738"/>
      <c r="V96" s="738"/>
      <c r="W96" s="738"/>
      <c r="X96" s="738"/>
      <c r="Y96" s="738"/>
      <c r="Z96" s="738"/>
      <c r="AA96" s="738"/>
      <c r="AB96" s="738"/>
      <c r="AC96" s="738"/>
      <c r="AD96" s="738"/>
      <c r="AE96" s="738"/>
      <c r="AF96" s="738"/>
      <c r="AG96" s="738"/>
      <c r="AH96" s="738"/>
      <c r="AI96" s="738"/>
      <c r="AJ96" s="738"/>
      <c r="AK96" s="738"/>
      <c r="AL96" s="738"/>
      <c r="AM96" s="738"/>
      <c r="AN96" s="738"/>
      <c r="AO96" s="738"/>
      <c r="AP96" s="738"/>
      <c r="AQ96" s="738"/>
      <c r="AR96" s="738"/>
      <c r="AS96" s="738"/>
      <c r="AT96" s="738"/>
      <c r="AU96" s="738"/>
      <c r="AV96" s="738"/>
      <c r="AW96" s="738"/>
      <c r="AX96" s="738"/>
      <c r="AY96" s="738"/>
      <c r="AZ96" s="738"/>
      <c r="BA96" s="738"/>
      <c r="BB96" s="738"/>
      <c r="BC96" s="738"/>
      <c r="BD96" s="738"/>
      <c r="BE96" s="738"/>
      <c r="BF96" s="738"/>
      <c r="BG96" s="738"/>
      <c r="BH96" s="738"/>
      <c r="BI96" s="738"/>
      <c r="BJ96" s="738"/>
      <c r="BK96" s="738"/>
      <c r="BL96" s="738"/>
      <c r="BM96" s="738"/>
      <c r="BN96" s="738"/>
      <c r="BO96" s="738"/>
      <c r="BP96" s="738"/>
      <c r="BQ96" s="738"/>
      <c r="BR96" s="738"/>
      <c r="BS96" s="738"/>
      <c r="BT96" s="738"/>
      <c r="BU96" s="738"/>
      <c r="BV96" s="738"/>
      <c r="BW96" s="738"/>
      <c r="BX96" s="738"/>
      <c r="BY96" s="738"/>
      <c r="BZ96" s="738"/>
      <c r="CA96" s="738"/>
      <c r="CB96" s="738"/>
      <c r="CC96" s="738"/>
      <c r="CD96" s="738"/>
      <c r="CE96" s="738"/>
      <c r="CF96" s="738"/>
      <c r="CG96" s="738"/>
      <c r="CH96" s="738"/>
      <c r="CI96" s="738"/>
      <c r="CJ96" s="738"/>
      <c r="CK96" s="738"/>
      <c r="CL96" s="738"/>
      <c r="CM96" s="738"/>
      <c r="CN96" s="738"/>
      <c r="CO96" s="738"/>
      <c r="CP96" s="738"/>
      <c r="CQ96" s="738"/>
      <c r="CR96" s="738"/>
      <c r="CS96" s="738"/>
      <c r="CT96" s="738"/>
    </row>
    <row r="97" spans="1:114" s="743" customFormat="1" ht="21" customHeight="1" x14ac:dyDescent="0.2">
      <c r="A97" s="742" t="s">
        <v>61</v>
      </c>
      <c r="B97" s="739" t="s">
        <v>101</v>
      </c>
      <c r="C97" s="1677"/>
      <c r="D97" s="1677"/>
      <c r="E97" s="1677"/>
      <c r="F97" s="1677"/>
      <c r="G97" s="1677"/>
      <c r="H97" s="1677"/>
      <c r="I97" s="1677"/>
      <c r="J97" s="1677"/>
      <c r="K97" s="1677"/>
      <c r="L97" s="1650"/>
      <c r="M97" s="1650"/>
      <c r="N97" s="1651"/>
      <c r="O97" s="729"/>
    </row>
    <row r="98" spans="1:114" s="743" customFormat="1" ht="19.899999999999999" customHeight="1" x14ac:dyDescent="0.2">
      <c r="A98" s="744"/>
      <c r="B98" s="732" t="s">
        <v>41</v>
      </c>
      <c r="C98" s="1271">
        <v>0</v>
      </c>
      <c r="D98" s="1271"/>
      <c r="E98" s="1271">
        <f>C98+D98</f>
        <v>0</v>
      </c>
      <c r="F98" s="1271"/>
      <c r="G98" s="1271">
        <f>E98+F98</f>
        <v>0</v>
      </c>
      <c r="H98" s="1495">
        <v>996</v>
      </c>
      <c r="I98" s="1495">
        <f>G98+H98</f>
        <v>996</v>
      </c>
      <c r="J98" s="1495"/>
      <c r="K98" s="1495">
        <f>I98+J98</f>
        <v>996</v>
      </c>
      <c r="L98" s="1281"/>
      <c r="M98" s="1505">
        <v>996</v>
      </c>
      <c r="N98" s="1282"/>
      <c r="O98" s="729">
        <f t="shared" si="12"/>
        <v>996</v>
      </c>
    </row>
    <row r="99" spans="1:114" s="743" customFormat="1" ht="37.5" customHeight="1" x14ac:dyDescent="0.2">
      <c r="A99" s="744"/>
      <c r="B99" s="732" t="s">
        <v>309</v>
      </c>
      <c r="C99" s="1271">
        <v>0</v>
      </c>
      <c r="D99" s="1271"/>
      <c r="E99" s="1271">
        <f>C99+D99</f>
        <v>0</v>
      </c>
      <c r="F99" s="1271"/>
      <c r="G99" s="1271">
        <f>E99+F99</f>
        <v>0</v>
      </c>
      <c r="H99" s="1495">
        <v>272</v>
      </c>
      <c r="I99" s="1495">
        <f>G99+H99</f>
        <v>272</v>
      </c>
      <c r="J99" s="1495"/>
      <c r="K99" s="1495">
        <f>I99+J99</f>
        <v>272</v>
      </c>
      <c r="L99" s="1281"/>
      <c r="M99" s="1505">
        <v>272</v>
      </c>
      <c r="N99" s="1282"/>
      <c r="O99" s="729">
        <f t="shared" si="12"/>
        <v>272</v>
      </c>
    </row>
    <row r="100" spans="1:114" s="743" customFormat="1" ht="19.899999999999999" customHeight="1" x14ac:dyDescent="0.2">
      <c r="A100" s="744"/>
      <c r="B100" s="732" t="s">
        <v>133</v>
      </c>
      <c r="C100" s="1497">
        <v>1000</v>
      </c>
      <c r="D100" s="1497"/>
      <c r="E100" s="1495">
        <f>C100+D100</f>
        <v>1000</v>
      </c>
      <c r="F100" s="1495"/>
      <c r="G100" s="1495">
        <f>E100+F100</f>
        <v>1000</v>
      </c>
      <c r="H100" s="1495"/>
      <c r="I100" s="1495">
        <f>G100+H100</f>
        <v>1000</v>
      </c>
      <c r="J100" s="1495">
        <v>-300</v>
      </c>
      <c r="K100" s="1495">
        <f>I100+J100</f>
        <v>700</v>
      </c>
      <c r="L100" s="1505"/>
      <c r="M100" s="1497">
        <v>700</v>
      </c>
      <c r="N100" s="1282"/>
      <c r="O100" s="729">
        <f t="shared" si="12"/>
        <v>700</v>
      </c>
    </row>
    <row r="101" spans="1:114" s="743" customFormat="1" ht="19.899999999999999" customHeight="1" x14ac:dyDescent="0.2">
      <c r="A101" s="744"/>
      <c r="B101" s="732" t="s">
        <v>51</v>
      </c>
      <c r="C101" s="1495">
        <v>0</v>
      </c>
      <c r="D101" s="1495"/>
      <c r="E101" s="1495">
        <f>C101+D101</f>
        <v>0</v>
      </c>
      <c r="F101" s="1495"/>
      <c r="G101" s="1495">
        <f>E101+F101</f>
        <v>0</v>
      </c>
      <c r="H101" s="1495"/>
      <c r="I101" s="1495">
        <f>G101+H101</f>
        <v>0</v>
      </c>
      <c r="J101" s="1495"/>
      <c r="K101" s="1495">
        <f>I101+J101</f>
        <v>0</v>
      </c>
      <c r="L101" s="1505"/>
      <c r="M101" s="1495">
        <v>0</v>
      </c>
      <c r="N101" s="1282"/>
      <c r="O101" s="729">
        <f t="shared" si="12"/>
        <v>0</v>
      </c>
    </row>
    <row r="102" spans="1:114" s="743" customFormat="1" ht="21" customHeight="1" thickBot="1" x14ac:dyDescent="0.25">
      <c r="A102" s="784"/>
      <c r="B102" s="750" t="s">
        <v>180</v>
      </c>
      <c r="C102" s="1499">
        <f t="shared" ref="C102:N102" si="17">SUM(C98:C101)</f>
        <v>1000</v>
      </c>
      <c r="D102" s="1499">
        <f t="shared" si="17"/>
        <v>0</v>
      </c>
      <c r="E102" s="1499">
        <f t="shared" si="17"/>
        <v>1000</v>
      </c>
      <c r="F102" s="1499">
        <f t="shared" si="17"/>
        <v>0</v>
      </c>
      <c r="G102" s="1499">
        <f t="shared" si="17"/>
        <v>1000</v>
      </c>
      <c r="H102" s="1499">
        <f>SUM(H98:H101)</f>
        <v>1268</v>
      </c>
      <c r="I102" s="1499">
        <f>SUM(I98:I101)</f>
        <v>2268</v>
      </c>
      <c r="J102" s="1499">
        <f>SUM(J98:J101)</f>
        <v>-300</v>
      </c>
      <c r="K102" s="1499">
        <f>SUM(K98:K101)</f>
        <v>1968</v>
      </c>
      <c r="L102" s="1499">
        <f t="shared" si="17"/>
        <v>0</v>
      </c>
      <c r="M102" s="1499">
        <f t="shared" si="17"/>
        <v>1968</v>
      </c>
      <c r="N102" s="1273">
        <f t="shared" si="17"/>
        <v>0</v>
      </c>
      <c r="O102" s="729">
        <f t="shared" si="12"/>
        <v>1968</v>
      </c>
    </row>
    <row r="103" spans="1:114" s="741" customFormat="1" ht="30" customHeight="1" thickBot="1" x14ac:dyDescent="0.25">
      <c r="A103" s="724" t="s">
        <v>273</v>
      </c>
      <c r="B103" s="1665" t="s">
        <v>102</v>
      </c>
      <c r="C103" s="1666"/>
      <c r="D103" s="1666"/>
      <c r="E103" s="1666"/>
      <c r="F103" s="1666"/>
      <c r="G103" s="1666"/>
      <c r="H103" s="1666"/>
      <c r="I103" s="1666"/>
      <c r="J103" s="1666"/>
      <c r="K103" s="1666"/>
      <c r="L103" s="1666"/>
      <c r="M103" s="1666"/>
      <c r="N103" s="1667"/>
      <c r="O103" s="729"/>
      <c r="P103" s="738"/>
      <c r="Q103" s="738"/>
      <c r="R103" s="738"/>
      <c r="S103" s="738"/>
      <c r="T103" s="738"/>
      <c r="U103" s="738"/>
      <c r="V103" s="738"/>
      <c r="W103" s="738"/>
      <c r="X103" s="738"/>
      <c r="Y103" s="738"/>
      <c r="Z103" s="738"/>
      <c r="AA103" s="738"/>
      <c r="AB103" s="738"/>
      <c r="AC103" s="738"/>
      <c r="AD103" s="738"/>
      <c r="AE103" s="738"/>
      <c r="AF103" s="738"/>
      <c r="AG103" s="738"/>
      <c r="AH103" s="738"/>
      <c r="AI103" s="738"/>
      <c r="AJ103" s="738"/>
      <c r="AK103" s="738"/>
      <c r="AL103" s="738"/>
      <c r="AM103" s="738"/>
      <c r="AN103" s="738"/>
      <c r="AO103" s="738"/>
      <c r="AP103" s="738"/>
      <c r="AQ103" s="738"/>
      <c r="AR103" s="738"/>
      <c r="AS103" s="738"/>
      <c r="AT103" s="738"/>
      <c r="AU103" s="738"/>
      <c r="AV103" s="738"/>
      <c r="AW103" s="738"/>
      <c r="AX103" s="738"/>
      <c r="AY103" s="738"/>
      <c r="AZ103" s="738"/>
      <c r="BA103" s="738"/>
      <c r="BB103" s="738"/>
      <c r="BC103" s="738"/>
      <c r="BD103" s="738"/>
      <c r="BE103" s="738"/>
      <c r="BF103" s="738"/>
      <c r="BG103" s="738"/>
      <c r="BH103" s="738"/>
      <c r="BI103" s="738"/>
      <c r="BJ103" s="738"/>
      <c r="BK103" s="738"/>
      <c r="BL103" s="738"/>
      <c r="BM103" s="738"/>
      <c r="BN103" s="738"/>
      <c r="BO103" s="738"/>
      <c r="BP103" s="738"/>
      <c r="BQ103" s="738"/>
      <c r="BR103" s="738"/>
      <c r="BS103" s="738"/>
      <c r="BT103" s="738"/>
      <c r="BU103" s="738"/>
      <c r="BV103" s="738"/>
      <c r="BW103" s="738"/>
      <c r="BX103" s="738"/>
      <c r="BY103" s="738"/>
      <c r="BZ103" s="738"/>
      <c r="CA103" s="738"/>
      <c r="CB103" s="738"/>
      <c r="CC103" s="738"/>
      <c r="CD103" s="738"/>
      <c r="CE103" s="738"/>
      <c r="CF103" s="738"/>
      <c r="CG103" s="738"/>
      <c r="CH103" s="738"/>
      <c r="CI103" s="738"/>
      <c r="CJ103" s="738"/>
      <c r="CK103" s="738"/>
      <c r="CL103" s="738"/>
      <c r="CM103" s="738"/>
      <c r="CN103" s="738"/>
      <c r="CO103" s="738"/>
      <c r="CP103" s="738"/>
      <c r="CQ103" s="738"/>
      <c r="CR103" s="738"/>
      <c r="CS103" s="738"/>
      <c r="CT103" s="738"/>
      <c r="CU103" s="738"/>
      <c r="CV103" s="738"/>
      <c r="CW103" s="738"/>
      <c r="CX103" s="738"/>
      <c r="CY103" s="738"/>
      <c r="CZ103" s="738"/>
      <c r="DA103" s="738"/>
      <c r="DB103" s="738"/>
      <c r="DC103" s="738"/>
      <c r="DD103" s="738"/>
      <c r="DE103" s="738"/>
      <c r="DF103" s="738"/>
      <c r="DG103" s="738"/>
      <c r="DH103" s="738"/>
      <c r="DI103" s="738"/>
      <c r="DJ103" s="738"/>
    </row>
    <row r="104" spans="1:114" s="740" customFormat="1" ht="23.1" customHeight="1" x14ac:dyDescent="0.2">
      <c r="A104" s="727" t="s">
        <v>61</v>
      </c>
      <c r="B104" s="739" t="s">
        <v>103</v>
      </c>
      <c r="C104" s="1649"/>
      <c r="D104" s="1649"/>
      <c r="E104" s="1649"/>
      <c r="F104" s="1649"/>
      <c r="G104" s="1649"/>
      <c r="H104" s="1649"/>
      <c r="I104" s="1649"/>
      <c r="J104" s="1649"/>
      <c r="K104" s="1649"/>
      <c r="L104" s="1650"/>
      <c r="M104" s="1650"/>
      <c r="N104" s="1651"/>
      <c r="O104" s="729"/>
    </row>
    <row r="105" spans="1:114" s="740" customFormat="1" ht="18.95" customHeight="1" x14ac:dyDescent="0.2">
      <c r="A105" s="745"/>
      <c r="B105" s="732" t="s">
        <v>41</v>
      </c>
      <c r="C105" s="1261">
        <v>0</v>
      </c>
      <c r="D105" s="1261"/>
      <c r="E105" s="1261">
        <f>C105+D105</f>
        <v>0</v>
      </c>
      <c r="F105" s="1261"/>
      <c r="G105" s="1261">
        <f>E105+F105</f>
        <v>0</v>
      </c>
      <c r="H105" s="1261"/>
      <c r="I105" s="1261">
        <f>G105+H105</f>
        <v>0</v>
      </c>
      <c r="J105" s="1261"/>
      <c r="K105" s="1261">
        <f>I105+J105</f>
        <v>0</v>
      </c>
      <c r="L105" s="1278"/>
      <c r="M105" s="1278"/>
      <c r="N105" s="1279"/>
      <c r="O105" s="729">
        <f t="shared" si="12"/>
        <v>0</v>
      </c>
    </row>
    <row r="106" spans="1:114" s="740" customFormat="1" ht="39" customHeight="1" x14ac:dyDescent="0.2">
      <c r="A106" s="745"/>
      <c r="B106" s="732" t="s">
        <v>309</v>
      </c>
      <c r="C106" s="1261">
        <v>0</v>
      </c>
      <c r="D106" s="1261"/>
      <c r="E106" s="1261">
        <f>C106+D106</f>
        <v>0</v>
      </c>
      <c r="F106" s="1261"/>
      <c r="G106" s="1261">
        <f>E106+F106</f>
        <v>0</v>
      </c>
      <c r="H106" s="1261"/>
      <c r="I106" s="1261">
        <f>G106+H106</f>
        <v>0</v>
      </c>
      <c r="J106" s="1261"/>
      <c r="K106" s="1261">
        <f>I106+J106</f>
        <v>0</v>
      </c>
      <c r="L106" s="1278"/>
      <c r="M106" s="1278"/>
      <c r="N106" s="1279"/>
      <c r="O106" s="729">
        <f t="shared" si="12"/>
        <v>0</v>
      </c>
    </row>
    <row r="107" spans="1:114" s="740" customFormat="1" ht="18.95" customHeight="1" x14ac:dyDescent="0.2">
      <c r="A107" s="745"/>
      <c r="B107" s="732" t="s">
        <v>133</v>
      </c>
      <c r="C107" s="1261">
        <v>3000</v>
      </c>
      <c r="D107" s="1261">
        <v>2485</v>
      </c>
      <c r="E107" s="1261">
        <f>C107+D107</f>
        <v>5485</v>
      </c>
      <c r="F107" s="1261"/>
      <c r="G107" s="1261">
        <f>E107+F107</f>
        <v>5485</v>
      </c>
      <c r="H107" s="1261"/>
      <c r="I107" s="1500">
        <f>G107+H107</f>
        <v>5485</v>
      </c>
      <c r="J107" s="1500">
        <v>-820</v>
      </c>
      <c r="K107" s="1261">
        <f>I107+J107</f>
        <v>4665</v>
      </c>
      <c r="L107" s="1278"/>
      <c r="M107" s="1500">
        <v>4665</v>
      </c>
      <c r="N107" s="1279"/>
      <c r="O107" s="729">
        <f t="shared" si="12"/>
        <v>4665</v>
      </c>
    </row>
    <row r="108" spans="1:114" s="740" customFormat="1" ht="18.95" customHeight="1" x14ac:dyDescent="0.2">
      <c r="A108" s="745"/>
      <c r="B108" s="732" t="s">
        <v>51</v>
      </c>
      <c r="C108" s="1261">
        <v>0</v>
      </c>
      <c r="D108" s="1261"/>
      <c r="E108" s="1261">
        <f>C108+D108</f>
        <v>0</v>
      </c>
      <c r="F108" s="1261"/>
      <c r="G108" s="1261">
        <f>E108+F108</f>
        <v>0</v>
      </c>
      <c r="H108" s="1261"/>
      <c r="I108" s="1500">
        <f>G108+H108</f>
        <v>0</v>
      </c>
      <c r="J108" s="1500"/>
      <c r="K108" s="1261">
        <f>I108+J108</f>
        <v>0</v>
      </c>
      <c r="L108" s="1278"/>
      <c r="M108" s="1500">
        <v>0</v>
      </c>
      <c r="N108" s="1279"/>
      <c r="O108" s="729">
        <f t="shared" si="12"/>
        <v>0</v>
      </c>
    </row>
    <row r="109" spans="1:114" s="740" customFormat="1" ht="21" customHeight="1" x14ac:dyDescent="0.2">
      <c r="A109" s="745"/>
      <c r="B109" s="732" t="s">
        <v>180</v>
      </c>
      <c r="C109" s="1261">
        <f t="shared" ref="C109:N109" si="18">SUM(C105:C108)</f>
        <v>3000</v>
      </c>
      <c r="D109" s="1261">
        <f t="shared" si="18"/>
        <v>2485</v>
      </c>
      <c r="E109" s="1261">
        <f t="shared" si="18"/>
        <v>5485</v>
      </c>
      <c r="F109" s="1261">
        <f t="shared" si="18"/>
        <v>0</v>
      </c>
      <c r="G109" s="1261">
        <f t="shared" si="18"/>
        <v>5485</v>
      </c>
      <c r="H109" s="1261">
        <f>SUM(H105:H108)</f>
        <v>0</v>
      </c>
      <c r="I109" s="1500">
        <f>SUM(I105:I108)</f>
        <v>5485</v>
      </c>
      <c r="J109" s="1261">
        <f>SUM(J105:J108)</f>
        <v>-820</v>
      </c>
      <c r="K109" s="1500">
        <f>SUM(K105:K108)</f>
        <v>4665</v>
      </c>
      <c r="L109" s="1261">
        <f t="shared" si="18"/>
        <v>0</v>
      </c>
      <c r="M109" s="1500">
        <f t="shared" si="18"/>
        <v>4665</v>
      </c>
      <c r="N109" s="1280">
        <f t="shared" si="18"/>
        <v>0</v>
      </c>
      <c r="O109" s="729">
        <f t="shared" si="12"/>
        <v>4665</v>
      </c>
    </row>
    <row r="110" spans="1:114" s="730" customFormat="1" ht="23.1" customHeight="1" x14ac:dyDescent="0.2">
      <c r="A110" s="733" t="s">
        <v>62</v>
      </c>
      <c r="B110" s="734" t="s">
        <v>104</v>
      </c>
      <c r="C110" s="1642"/>
      <c r="D110" s="1642"/>
      <c r="E110" s="1642"/>
      <c r="F110" s="1642"/>
      <c r="G110" s="1642"/>
      <c r="H110" s="1642"/>
      <c r="I110" s="1642"/>
      <c r="J110" s="1642"/>
      <c r="K110" s="1642"/>
      <c r="L110" s="1643"/>
      <c r="M110" s="1643"/>
      <c r="N110" s="1644"/>
      <c r="O110" s="729"/>
    </row>
    <row r="111" spans="1:114" s="730" customFormat="1" ht="18.95" customHeight="1" x14ac:dyDescent="0.2">
      <c r="A111" s="745"/>
      <c r="B111" s="732" t="s">
        <v>41</v>
      </c>
      <c r="C111" s="1261"/>
      <c r="D111" s="1261"/>
      <c r="E111" s="1261">
        <f>C111+D111</f>
        <v>0</v>
      </c>
      <c r="F111" s="1261"/>
      <c r="G111" s="1261">
        <f>E111+F111</f>
        <v>0</v>
      </c>
      <c r="H111" s="1500">
        <v>950</v>
      </c>
      <c r="I111" s="1514">
        <f>G111+H111</f>
        <v>950</v>
      </c>
      <c r="J111" s="1514"/>
      <c r="K111" s="1514">
        <f>I111+J111</f>
        <v>950</v>
      </c>
      <c r="L111" s="1274"/>
      <c r="M111" s="1496">
        <v>950</v>
      </c>
      <c r="N111" s="1257"/>
      <c r="O111" s="729">
        <f t="shared" si="12"/>
        <v>950</v>
      </c>
    </row>
    <row r="112" spans="1:114" s="730" customFormat="1" ht="39" customHeight="1" x14ac:dyDescent="0.2">
      <c r="A112" s="745"/>
      <c r="B112" s="732" t="s">
        <v>309</v>
      </c>
      <c r="C112" s="1261"/>
      <c r="D112" s="1261"/>
      <c r="E112" s="1261">
        <f>C112+D112</f>
        <v>0</v>
      </c>
      <c r="F112" s="1261"/>
      <c r="G112" s="1261">
        <f>E112+F112</f>
        <v>0</v>
      </c>
      <c r="H112" s="1500">
        <v>418</v>
      </c>
      <c r="I112" s="1514">
        <f>G112+H112</f>
        <v>418</v>
      </c>
      <c r="J112" s="1514"/>
      <c r="K112" s="1514">
        <f>I112+J112</f>
        <v>418</v>
      </c>
      <c r="L112" s="1274"/>
      <c r="M112" s="1496">
        <v>418</v>
      </c>
      <c r="N112" s="1257"/>
      <c r="O112" s="729">
        <f t="shared" si="12"/>
        <v>418</v>
      </c>
    </row>
    <row r="113" spans="1:15" s="730" customFormat="1" ht="18.95" customHeight="1" x14ac:dyDescent="0.2">
      <c r="A113" s="745"/>
      <c r="B113" s="732" t="s">
        <v>133</v>
      </c>
      <c r="C113" s="1261"/>
      <c r="D113" s="1261"/>
      <c r="E113" s="1261">
        <v>1500</v>
      </c>
      <c r="F113" s="1261"/>
      <c r="G113" s="1500">
        <f>E113+F113</f>
        <v>1500</v>
      </c>
      <c r="H113" s="1500"/>
      <c r="I113" s="1500">
        <f>G113+H113</f>
        <v>1500</v>
      </c>
      <c r="J113" s="1500">
        <v>820</v>
      </c>
      <c r="K113" s="1514">
        <f>I113+J113</f>
        <v>2320</v>
      </c>
      <c r="L113" s="1496"/>
      <c r="M113" s="1496">
        <v>2320</v>
      </c>
      <c r="N113" s="1257"/>
      <c r="O113" s="729">
        <f t="shared" si="12"/>
        <v>2320</v>
      </c>
    </row>
    <row r="114" spans="1:15" s="730" customFormat="1" ht="18.95" customHeight="1" x14ac:dyDescent="0.2">
      <c r="A114" s="745"/>
      <c r="B114" s="732" t="s">
        <v>51</v>
      </c>
      <c r="C114" s="1271">
        <v>0</v>
      </c>
      <c r="D114" s="1271"/>
      <c r="E114" s="1261">
        <f>C114+D114</f>
        <v>0</v>
      </c>
      <c r="F114" s="1261"/>
      <c r="G114" s="1500">
        <f>E114+F114</f>
        <v>0</v>
      </c>
      <c r="H114" s="1500"/>
      <c r="I114" s="1500">
        <f>G114+H114</f>
        <v>0</v>
      </c>
      <c r="J114" s="1500"/>
      <c r="K114" s="1514">
        <f>I114+J114</f>
        <v>0</v>
      </c>
      <c r="L114" s="1496"/>
      <c r="M114" s="1496"/>
      <c r="N114" s="1257"/>
      <c r="O114" s="729">
        <f t="shared" si="12"/>
        <v>0</v>
      </c>
    </row>
    <row r="115" spans="1:15" s="730" customFormat="1" ht="21" customHeight="1" thickBot="1" x14ac:dyDescent="0.25">
      <c r="A115" s="746"/>
      <c r="B115" s="736" t="s">
        <v>180</v>
      </c>
      <c r="C115" s="1276">
        <f t="shared" ref="C115:N115" si="19">SUM(C111:C114)</f>
        <v>0</v>
      </c>
      <c r="D115" s="1276">
        <f t="shared" si="19"/>
        <v>0</v>
      </c>
      <c r="E115" s="1276">
        <f t="shared" si="19"/>
        <v>1500</v>
      </c>
      <c r="F115" s="1276">
        <f t="shared" si="19"/>
        <v>0</v>
      </c>
      <c r="G115" s="1501">
        <f t="shared" si="19"/>
        <v>1500</v>
      </c>
      <c r="H115" s="1501">
        <f>SUM(H111:H114)</f>
        <v>1368</v>
      </c>
      <c r="I115" s="1501">
        <f>SUM(I111:I114)</f>
        <v>2868</v>
      </c>
      <c r="J115" s="1501">
        <f>SUM(J111:J114)</f>
        <v>820</v>
      </c>
      <c r="K115" s="1501">
        <f>SUM(K111:K114)</f>
        <v>3688</v>
      </c>
      <c r="L115" s="1501">
        <f t="shared" si="19"/>
        <v>0</v>
      </c>
      <c r="M115" s="1501">
        <f t="shared" si="19"/>
        <v>3688</v>
      </c>
      <c r="N115" s="1277">
        <f t="shared" si="19"/>
        <v>0</v>
      </c>
      <c r="O115" s="729">
        <f t="shared" si="12"/>
        <v>3688</v>
      </c>
    </row>
    <row r="116" spans="1:15" s="747" customFormat="1" ht="26.25" customHeight="1" thickBot="1" x14ac:dyDescent="0.25">
      <c r="A116" s="724" t="s">
        <v>274</v>
      </c>
      <c r="B116" s="737" t="s">
        <v>106</v>
      </c>
      <c r="C116" s="1656"/>
      <c r="D116" s="1657"/>
      <c r="E116" s="1657"/>
      <c r="F116" s="1657"/>
      <c r="G116" s="1657"/>
      <c r="H116" s="1657"/>
      <c r="I116" s="1657"/>
      <c r="J116" s="1657"/>
      <c r="K116" s="1657"/>
      <c r="L116" s="1658"/>
      <c r="M116" s="1658"/>
      <c r="N116" s="1659"/>
      <c r="O116" s="729"/>
    </row>
    <row r="117" spans="1:15" s="730" customFormat="1" ht="23.1" customHeight="1" x14ac:dyDescent="0.2">
      <c r="A117" s="727" t="s">
        <v>61</v>
      </c>
      <c r="B117" s="739" t="s">
        <v>291</v>
      </c>
      <c r="C117" s="1660"/>
      <c r="D117" s="1660"/>
      <c r="E117" s="1660"/>
      <c r="F117" s="1660"/>
      <c r="G117" s="1660"/>
      <c r="H117" s="1660"/>
      <c r="I117" s="1660"/>
      <c r="J117" s="1660"/>
      <c r="K117" s="1660"/>
      <c r="L117" s="1650"/>
      <c r="M117" s="1650"/>
      <c r="N117" s="1651"/>
      <c r="O117" s="729"/>
    </row>
    <row r="118" spans="1:15" s="730" customFormat="1" ht="18.95" customHeight="1" x14ac:dyDescent="0.2">
      <c r="A118" s="731"/>
      <c r="B118" s="732" t="s">
        <v>41</v>
      </c>
      <c r="C118" s="1271">
        <v>0</v>
      </c>
      <c r="D118" s="1271"/>
      <c r="E118" s="1271">
        <f>C118+D118</f>
        <v>0</v>
      </c>
      <c r="F118" s="1271"/>
      <c r="G118" s="1271">
        <f>E118+F118</f>
        <v>0</v>
      </c>
      <c r="H118" s="1271"/>
      <c r="I118" s="1271">
        <f>G118+H118</f>
        <v>0</v>
      </c>
      <c r="J118" s="1271"/>
      <c r="K118" s="1271">
        <f>I118+J118</f>
        <v>0</v>
      </c>
      <c r="L118" s="1274"/>
      <c r="M118" s="1274"/>
      <c r="N118" s="1257"/>
      <c r="O118" s="729">
        <f t="shared" si="12"/>
        <v>0</v>
      </c>
    </row>
    <row r="119" spans="1:15" s="730" customFormat="1" ht="39" customHeight="1" x14ac:dyDescent="0.2">
      <c r="A119" s="731"/>
      <c r="B119" s="732" t="s">
        <v>309</v>
      </c>
      <c r="C119" s="1271">
        <v>0</v>
      </c>
      <c r="D119" s="1271"/>
      <c r="E119" s="1271">
        <f>C119+D119</f>
        <v>0</v>
      </c>
      <c r="F119" s="1271"/>
      <c r="G119" s="1271">
        <f>E119+F119</f>
        <v>0</v>
      </c>
      <c r="H119" s="1271"/>
      <c r="I119" s="1271">
        <f>G119+H119</f>
        <v>0</v>
      </c>
      <c r="J119" s="1271"/>
      <c r="K119" s="1271">
        <f>I119+J119</f>
        <v>0</v>
      </c>
      <c r="L119" s="1274"/>
      <c r="M119" s="1274"/>
      <c r="N119" s="1257"/>
      <c r="O119" s="729">
        <f t="shared" si="12"/>
        <v>0</v>
      </c>
    </row>
    <row r="120" spans="1:15" s="730" customFormat="1" ht="18.95" customHeight="1" x14ac:dyDescent="0.2">
      <c r="A120" s="731"/>
      <c r="B120" s="732" t="s">
        <v>133</v>
      </c>
      <c r="C120" s="1495">
        <v>1000</v>
      </c>
      <c r="D120" s="1495"/>
      <c r="E120" s="1495">
        <f>C120+D120</f>
        <v>1000</v>
      </c>
      <c r="F120" s="1495"/>
      <c r="G120" s="1495">
        <f>E120+F120</f>
        <v>1000</v>
      </c>
      <c r="H120" s="1495"/>
      <c r="I120" s="1495">
        <f>G120+H120</f>
        <v>1000</v>
      </c>
      <c r="J120" s="1495"/>
      <c r="K120" s="1271">
        <f>I120+J120</f>
        <v>1000</v>
      </c>
      <c r="L120" s="1496"/>
      <c r="M120" s="1495">
        <v>1000</v>
      </c>
      <c r="N120" s="1257"/>
      <c r="O120" s="729">
        <f t="shared" si="12"/>
        <v>1000</v>
      </c>
    </row>
    <row r="121" spans="1:15" s="730" customFormat="1" ht="18.95" customHeight="1" x14ac:dyDescent="0.2">
      <c r="A121" s="731"/>
      <c r="B121" s="732" t="s">
        <v>51</v>
      </c>
      <c r="C121" s="1495">
        <v>0</v>
      </c>
      <c r="D121" s="1495"/>
      <c r="E121" s="1495">
        <f>C121+D121</f>
        <v>0</v>
      </c>
      <c r="F121" s="1495"/>
      <c r="G121" s="1495">
        <f>E121+F121</f>
        <v>0</v>
      </c>
      <c r="H121" s="1495"/>
      <c r="I121" s="1495">
        <f>G121+H121</f>
        <v>0</v>
      </c>
      <c r="J121" s="1495"/>
      <c r="K121" s="1271">
        <f>I121+J121</f>
        <v>0</v>
      </c>
      <c r="L121" s="1496"/>
      <c r="M121" s="1495">
        <v>0</v>
      </c>
      <c r="N121" s="1257"/>
      <c r="O121" s="729">
        <f t="shared" si="12"/>
        <v>0</v>
      </c>
    </row>
    <row r="122" spans="1:15" s="730" customFormat="1" ht="21" customHeight="1" x14ac:dyDescent="0.2">
      <c r="A122" s="731"/>
      <c r="B122" s="732" t="s">
        <v>180</v>
      </c>
      <c r="C122" s="1495">
        <f t="shared" ref="C122:N122" si="20">SUM(C118:C121)</f>
        <v>1000</v>
      </c>
      <c r="D122" s="1495">
        <f t="shared" si="20"/>
        <v>0</v>
      </c>
      <c r="E122" s="1495">
        <f t="shared" si="20"/>
        <v>1000</v>
      </c>
      <c r="F122" s="1495">
        <f t="shared" si="20"/>
        <v>0</v>
      </c>
      <c r="G122" s="1495">
        <f t="shared" si="20"/>
        <v>1000</v>
      </c>
      <c r="H122" s="1495">
        <f>SUM(H118:H121)</f>
        <v>0</v>
      </c>
      <c r="I122" s="1495">
        <f>SUM(I118:I121)</f>
        <v>1000</v>
      </c>
      <c r="J122" s="1495">
        <f>SUM(J118:J121)</f>
        <v>0</v>
      </c>
      <c r="K122" s="1495">
        <f>SUM(K118:K121)</f>
        <v>1000</v>
      </c>
      <c r="L122" s="1495">
        <f t="shared" si="20"/>
        <v>0</v>
      </c>
      <c r="M122" s="1495">
        <f t="shared" si="20"/>
        <v>1000</v>
      </c>
      <c r="N122" s="1275">
        <f t="shared" si="20"/>
        <v>0</v>
      </c>
      <c r="O122" s="729">
        <f t="shared" si="12"/>
        <v>1000</v>
      </c>
    </row>
    <row r="123" spans="1:15" s="748" customFormat="1" ht="39" x14ac:dyDescent="0.2">
      <c r="A123" s="733" t="s">
        <v>62</v>
      </c>
      <c r="B123" s="734" t="s">
        <v>107</v>
      </c>
      <c r="C123" s="1661"/>
      <c r="D123" s="1661"/>
      <c r="E123" s="1661"/>
      <c r="F123" s="1661"/>
      <c r="G123" s="1661"/>
      <c r="H123" s="1661"/>
      <c r="I123" s="1661"/>
      <c r="J123" s="1661"/>
      <c r="K123" s="1661"/>
      <c r="L123" s="1643"/>
      <c r="M123" s="1643"/>
      <c r="N123" s="1644"/>
      <c r="O123" s="729"/>
    </row>
    <row r="124" spans="1:15" s="730" customFormat="1" ht="18.95" customHeight="1" x14ac:dyDescent="0.2">
      <c r="A124" s="731"/>
      <c r="B124" s="732" t="s">
        <v>41</v>
      </c>
      <c r="C124" s="1271">
        <v>0</v>
      </c>
      <c r="D124" s="1271"/>
      <c r="E124" s="1271">
        <f>C124+D124</f>
        <v>0</v>
      </c>
      <c r="F124" s="1271"/>
      <c r="G124" s="1271">
        <f>E124+F124</f>
        <v>0</v>
      </c>
      <c r="H124" s="1271"/>
      <c r="I124" s="1271">
        <f>G124+H124</f>
        <v>0</v>
      </c>
      <c r="J124" s="1271"/>
      <c r="K124" s="1271">
        <f>I124+J124</f>
        <v>0</v>
      </c>
      <c r="L124" s="1274"/>
      <c r="M124" s="1274"/>
      <c r="N124" s="1257"/>
      <c r="O124" s="729">
        <f t="shared" si="12"/>
        <v>0</v>
      </c>
    </row>
    <row r="125" spans="1:15" s="730" customFormat="1" ht="39" customHeight="1" x14ac:dyDescent="0.2">
      <c r="A125" s="731"/>
      <c r="B125" s="732" t="s">
        <v>309</v>
      </c>
      <c r="C125" s="1271">
        <v>0</v>
      </c>
      <c r="D125" s="1271"/>
      <c r="E125" s="1271">
        <f>C125+D125</f>
        <v>0</v>
      </c>
      <c r="F125" s="1271"/>
      <c r="G125" s="1271">
        <f>E125+F125</f>
        <v>0</v>
      </c>
      <c r="H125" s="1271"/>
      <c r="I125" s="1271">
        <f>G125+H125</f>
        <v>0</v>
      </c>
      <c r="J125" s="1271"/>
      <c r="K125" s="1271">
        <f>I125+J125</f>
        <v>0</v>
      </c>
      <c r="L125" s="1274"/>
      <c r="M125" s="1274"/>
      <c r="N125" s="1257"/>
      <c r="O125" s="729">
        <f t="shared" si="12"/>
        <v>0</v>
      </c>
    </row>
    <row r="126" spans="1:15" s="730" customFormat="1" ht="18.95" customHeight="1" x14ac:dyDescent="0.2">
      <c r="A126" s="731"/>
      <c r="B126" s="732" t="s">
        <v>133</v>
      </c>
      <c r="C126" s="1495">
        <v>10500</v>
      </c>
      <c r="D126" s="1495">
        <v>1000</v>
      </c>
      <c r="E126" s="1495">
        <f>C126+D126</f>
        <v>11500</v>
      </c>
      <c r="F126" s="1495"/>
      <c r="G126" s="1495">
        <f>E126+F126</f>
        <v>11500</v>
      </c>
      <c r="H126" s="1495"/>
      <c r="I126" s="1495">
        <f>G126+H126</f>
        <v>11500</v>
      </c>
      <c r="J126" s="1495">
        <v>2250</v>
      </c>
      <c r="K126" s="1271">
        <f>I126+J126</f>
        <v>13750</v>
      </c>
      <c r="L126" s="1495">
        <v>13750</v>
      </c>
      <c r="M126" s="1274"/>
      <c r="N126" s="1257"/>
      <c r="O126" s="729">
        <f t="shared" si="12"/>
        <v>13750</v>
      </c>
    </row>
    <row r="127" spans="1:15" s="730" customFormat="1" ht="18.95" customHeight="1" x14ac:dyDescent="0.2">
      <c r="A127" s="731"/>
      <c r="B127" s="732" t="s">
        <v>51</v>
      </c>
      <c r="C127" s="1495">
        <v>0</v>
      </c>
      <c r="D127" s="1495"/>
      <c r="E127" s="1495">
        <f>C127+D127</f>
        <v>0</v>
      </c>
      <c r="F127" s="1495"/>
      <c r="G127" s="1495">
        <f>E127+F127</f>
        <v>0</v>
      </c>
      <c r="H127" s="1495"/>
      <c r="I127" s="1495">
        <f>G127+H127</f>
        <v>0</v>
      </c>
      <c r="J127" s="1495"/>
      <c r="K127" s="1271">
        <f>I127+J127</f>
        <v>0</v>
      </c>
      <c r="L127" s="1495">
        <v>0</v>
      </c>
      <c r="M127" s="1274"/>
      <c r="N127" s="1257"/>
      <c r="O127" s="729">
        <f t="shared" si="12"/>
        <v>0</v>
      </c>
    </row>
    <row r="128" spans="1:15" s="730" customFormat="1" ht="21" customHeight="1" x14ac:dyDescent="0.2">
      <c r="A128" s="731"/>
      <c r="B128" s="732" t="s">
        <v>180</v>
      </c>
      <c r="C128" s="1495">
        <f t="shared" ref="C128:N128" si="21">SUM(C124:C127)</f>
        <v>10500</v>
      </c>
      <c r="D128" s="1495">
        <f t="shared" si="21"/>
        <v>1000</v>
      </c>
      <c r="E128" s="1495">
        <f t="shared" si="21"/>
        <v>11500</v>
      </c>
      <c r="F128" s="1495">
        <f t="shared" si="21"/>
        <v>0</v>
      </c>
      <c r="G128" s="1495">
        <f t="shared" si="21"/>
        <v>11500</v>
      </c>
      <c r="H128" s="1495">
        <f>SUM(H124:H127)</f>
        <v>0</v>
      </c>
      <c r="I128" s="1495">
        <f>SUM(I124:I127)</f>
        <v>11500</v>
      </c>
      <c r="J128" s="1495">
        <f>SUM(J124:J127)</f>
        <v>2250</v>
      </c>
      <c r="K128" s="1495">
        <f>SUM(K124:K127)</f>
        <v>13750</v>
      </c>
      <c r="L128" s="1495">
        <f t="shared" si="21"/>
        <v>13750</v>
      </c>
      <c r="M128" s="1271">
        <f t="shared" si="21"/>
        <v>0</v>
      </c>
      <c r="N128" s="1275">
        <f t="shared" si="21"/>
        <v>0</v>
      </c>
      <c r="O128" s="729">
        <f t="shared" si="12"/>
        <v>13750</v>
      </c>
    </row>
    <row r="129" spans="1:15" s="748" customFormat="1" ht="23.1" customHeight="1" x14ac:dyDescent="0.2">
      <c r="A129" s="733" t="s">
        <v>63</v>
      </c>
      <c r="B129" s="734" t="s">
        <v>108</v>
      </c>
      <c r="C129" s="1676"/>
      <c r="D129" s="1676"/>
      <c r="E129" s="1676"/>
      <c r="F129" s="1676"/>
      <c r="G129" s="1676"/>
      <c r="H129" s="1676"/>
      <c r="I129" s="1676"/>
      <c r="J129" s="1676"/>
      <c r="K129" s="1676"/>
      <c r="L129" s="1643"/>
      <c r="M129" s="1643"/>
      <c r="N129" s="1644"/>
      <c r="O129" s="729"/>
    </row>
    <row r="130" spans="1:15" s="748" customFormat="1" ht="18.95" customHeight="1" x14ac:dyDescent="0.2">
      <c r="A130" s="731"/>
      <c r="B130" s="732" t="s">
        <v>41</v>
      </c>
      <c r="C130" s="1270">
        <v>0</v>
      </c>
      <c r="D130" s="1270"/>
      <c r="E130" s="1270">
        <f>C130+D130</f>
        <v>0</v>
      </c>
      <c r="F130" s="1270"/>
      <c r="G130" s="1270">
        <f>E130+F130</f>
        <v>0</v>
      </c>
      <c r="H130" s="1270"/>
      <c r="I130" s="1270">
        <f>G130+H130</f>
        <v>0</v>
      </c>
      <c r="J130" s="1270"/>
      <c r="K130" s="1270">
        <f>I130+J130</f>
        <v>0</v>
      </c>
      <c r="L130" s="1267"/>
      <c r="M130" s="1267"/>
      <c r="N130" s="1268"/>
      <c r="O130" s="729">
        <f t="shared" si="12"/>
        <v>0</v>
      </c>
    </row>
    <row r="131" spans="1:15" s="748" customFormat="1" ht="39" customHeight="1" x14ac:dyDescent="0.2">
      <c r="A131" s="731"/>
      <c r="B131" s="732" t="s">
        <v>309</v>
      </c>
      <c r="C131" s="1270">
        <v>0</v>
      </c>
      <c r="D131" s="1270"/>
      <c r="E131" s="1270">
        <f>C131+D131</f>
        <v>0</v>
      </c>
      <c r="F131" s="1270"/>
      <c r="G131" s="1270">
        <f>E131+F131</f>
        <v>0</v>
      </c>
      <c r="H131" s="1270"/>
      <c r="I131" s="1270">
        <f>G131+H131</f>
        <v>0</v>
      </c>
      <c r="J131" s="1270"/>
      <c r="K131" s="1270">
        <f>I131+J131</f>
        <v>0</v>
      </c>
      <c r="L131" s="1267"/>
      <c r="M131" s="1267"/>
      <c r="N131" s="1268"/>
      <c r="O131" s="729">
        <f t="shared" si="12"/>
        <v>0</v>
      </c>
    </row>
    <row r="132" spans="1:15" s="748" customFormat="1" ht="18.95" customHeight="1" x14ac:dyDescent="0.2">
      <c r="A132" s="731"/>
      <c r="B132" s="732" t="s">
        <v>133</v>
      </c>
      <c r="C132" s="1495">
        <v>21000</v>
      </c>
      <c r="D132" s="1495"/>
      <c r="E132" s="1495">
        <f>C132+D132</f>
        <v>21000</v>
      </c>
      <c r="F132" s="1495"/>
      <c r="G132" s="1495">
        <f>E132+F132</f>
        <v>21000</v>
      </c>
      <c r="H132" s="1495"/>
      <c r="I132" s="1495">
        <f>G132+H132</f>
        <v>21000</v>
      </c>
      <c r="J132" s="1495"/>
      <c r="K132" s="1270">
        <f>I132+J132</f>
        <v>21000</v>
      </c>
      <c r="L132" s="1495">
        <v>21000</v>
      </c>
      <c r="M132" s="1267"/>
      <c r="N132" s="1268"/>
      <c r="O132" s="729">
        <f t="shared" si="12"/>
        <v>21000</v>
      </c>
    </row>
    <row r="133" spans="1:15" s="748" customFormat="1" ht="18.95" customHeight="1" x14ac:dyDescent="0.2">
      <c r="A133" s="731"/>
      <c r="B133" s="732" t="s">
        <v>51</v>
      </c>
      <c r="C133" s="1495">
        <v>0</v>
      </c>
      <c r="D133" s="1495"/>
      <c r="E133" s="1506">
        <f>C133+D133</f>
        <v>0</v>
      </c>
      <c r="F133" s="1506"/>
      <c r="G133" s="1506">
        <f>E133+F133</f>
        <v>0</v>
      </c>
      <c r="H133" s="1506"/>
      <c r="I133" s="1506">
        <f>G133+H133</f>
        <v>0</v>
      </c>
      <c r="J133" s="1506"/>
      <c r="K133" s="1270">
        <f>I133+J133</f>
        <v>0</v>
      </c>
      <c r="L133" s="1495">
        <v>0</v>
      </c>
      <c r="M133" s="1267"/>
      <c r="N133" s="1268"/>
      <c r="O133" s="729">
        <f t="shared" si="12"/>
        <v>0</v>
      </c>
    </row>
    <row r="134" spans="1:15" s="748" customFormat="1" ht="21" customHeight="1" thickBot="1" x14ac:dyDescent="0.25">
      <c r="A134" s="749"/>
      <c r="B134" s="750" t="s">
        <v>180</v>
      </c>
      <c r="C134" s="1507">
        <f t="shared" ref="C134:N134" si="22">SUM(C130:C133)</f>
        <v>21000</v>
      </c>
      <c r="D134" s="1507">
        <f t="shared" si="22"/>
        <v>0</v>
      </c>
      <c r="E134" s="1507">
        <f t="shared" si="22"/>
        <v>21000</v>
      </c>
      <c r="F134" s="1507">
        <f t="shared" si="22"/>
        <v>0</v>
      </c>
      <c r="G134" s="1507">
        <f t="shared" si="22"/>
        <v>21000</v>
      </c>
      <c r="H134" s="1507">
        <f>SUM(H130:H133)</f>
        <v>0</v>
      </c>
      <c r="I134" s="1507">
        <f>SUM(I130:I133)</f>
        <v>21000</v>
      </c>
      <c r="J134" s="1507">
        <f>SUM(J130:J133)</f>
        <v>0</v>
      </c>
      <c r="K134" s="1507">
        <f>SUM(K130:K133)</f>
        <v>21000</v>
      </c>
      <c r="L134" s="1507">
        <f t="shared" si="22"/>
        <v>21000</v>
      </c>
      <c r="M134" s="1272">
        <f t="shared" si="22"/>
        <v>0</v>
      </c>
      <c r="N134" s="1273">
        <f t="shared" si="22"/>
        <v>0</v>
      </c>
      <c r="O134" s="729">
        <f t="shared" ref="O134:O197" si="23">L134+M134+N134</f>
        <v>21000</v>
      </c>
    </row>
    <row r="135" spans="1:15" s="748" customFormat="1" ht="30.95" customHeight="1" x14ac:dyDescent="0.2">
      <c r="A135" s="727" t="s">
        <v>64</v>
      </c>
      <c r="B135" s="1662" t="s">
        <v>959</v>
      </c>
      <c r="C135" s="1663"/>
      <c r="D135" s="1663"/>
      <c r="E135" s="1663"/>
      <c r="F135" s="1663"/>
      <c r="G135" s="1663"/>
      <c r="H135" s="1663"/>
      <c r="I135" s="1663"/>
      <c r="J135" s="1663"/>
      <c r="K135" s="1663"/>
      <c r="L135" s="1663"/>
      <c r="M135" s="1663"/>
      <c r="N135" s="1664"/>
      <c r="O135" s="729">
        <f t="shared" si="23"/>
        <v>0</v>
      </c>
    </row>
    <row r="136" spans="1:15" s="748" customFormat="1" ht="21" customHeight="1" x14ac:dyDescent="0.2">
      <c r="A136" s="731"/>
      <c r="B136" s="732" t="s">
        <v>41</v>
      </c>
      <c r="C136" s="1374">
        <v>0</v>
      </c>
      <c r="D136" s="1374"/>
      <c r="E136" s="1374">
        <f>C136+D136</f>
        <v>0</v>
      </c>
      <c r="F136" s="1375"/>
      <c r="G136" s="1375"/>
      <c r="H136" s="1376"/>
      <c r="I136" s="1376">
        <f>G136+H136</f>
        <v>0</v>
      </c>
      <c r="J136" s="1376"/>
      <c r="K136" s="1376">
        <f>I136+J136</f>
        <v>0</v>
      </c>
      <c r="L136" s="1376"/>
      <c r="M136" s="1377"/>
      <c r="N136" s="1378"/>
      <c r="O136" s="729">
        <f t="shared" si="23"/>
        <v>0</v>
      </c>
    </row>
    <row r="137" spans="1:15" s="748" customFormat="1" ht="39" customHeight="1" x14ac:dyDescent="0.2">
      <c r="A137" s="731"/>
      <c r="B137" s="732" t="s">
        <v>309</v>
      </c>
      <c r="C137" s="1374">
        <v>0</v>
      </c>
      <c r="D137" s="1374"/>
      <c r="E137" s="1374">
        <f t="shared" ref="E137" si="24">C137+D137</f>
        <v>0</v>
      </c>
      <c r="F137" s="1375"/>
      <c r="G137" s="1375"/>
      <c r="H137" s="1376"/>
      <c r="I137" s="1376">
        <f>G137+H137</f>
        <v>0</v>
      </c>
      <c r="J137" s="1376"/>
      <c r="K137" s="1376">
        <f>I137+J137</f>
        <v>0</v>
      </c>
      <c r="L137" s="1376"/>
      <c r="M137" s="1377"/>
      <c r="N137" s="1378"/>
      <c r="O137" s="729">
        <f t="shared" si="23"/>
        <v>0</v>
      </c>
    </row>
    <row r="138" spans="1:15" s="748" customFormat="1" ht="21" customHeight="1" x14ac:dyDescent="0.2">
      <c r="A138" s="731"/>
      <c r="B138" s="732" t="s">
        <v>133</v>
      </c>
      <c r="C138" s="1374"/>
      <c r="D138" s="1374"/>
      <c r="E138" s="1374">
        <v>150</v>
      </c>
      <c r="F138" s="1377"/>
      <c r="G138" s="1374"/>
      <c r="H138" s="1374">
        <v>4000</v>
      </c>
      <c r="I138" s="1374">
        <f>G138+H138</f>
        <v>4000</v>
      </c>
      <c r="J138" s="1374"/>
      <c r="K138" s="1374">
        <f>I138+J138</f>
        <v>4000</v>
      </c>
      <c r="L138" s="1397">
        <v>4000</v>
      </c>
      <c r="M138" s="1377"/>
      <c r="N138" s="1378"/>
      <c r="O138" s="729">
        <f t="shared" si="23"/>
        <v>4000</v>
      </c>
    </row>
    <row r="139" spans="1:15" s="748" customFormat="1" ht="21" customHeight="1" x14ac:dyDescent="0.2">
      <c r="A139" s="731"/>
      <c r="B139" s="732" t="s">
        <v>51</v>
      </c>
      <c r="C139" s="1374">
        <v>0</v>
      </c>
      <c r="D139" s="1374"/>
      <c r="E139" s="1374">
        <f t="shared" ref="E139" si="25">C139+D139</f>
        <v>0</v>
      </c>
      <c r="F139" s="1377"/>
      <c r="G139" s="1374">
        <v>0</v>
      </c>
      <c r="H139" s="1374"/>
      <c r="I139" s="1374">
        <f>G139+H139</f>
        <v>0</v>
      </c>
      <c r="J139" s="1374"/>
      <c r="K139" s="1374">
        <f>I139+J139</f>
        <v>0</v>
      </c>
      <c r="L139" s="1376"/>
      <c r="M139" s="1377"/>
      <c r="N139" s="1378"/>
      <c r="O139" s="729">
        <f t="shared" si="23"/>
        <v>0</v>
      </c>
    </row>
    <row r="140" spans="1:15" s="748" customFormat="1" ht="23.1" customHeight="1" thickBot="1" x14ac:dyDescent="0.25">
      <c r="A140" s="749"/>
      <c r="B140" s="750" t="s">
        <v>180</v>
      </c>
      <c r="C140" s="1379">
        <f>SUM(C136:C139)</f>
        <v>0</v>
      </c>
      <c r="D140" s="1379">
        <f t="shared" ref="D140:G140" si="26">SUM(D136:D139)</f>
        <v>0</v>
      </c>
      <c r="E140" s="1379">
        <f t="shared" si="26"/>
        <v>150</v>
      </c>
      <c r="F140" s="1379">
        <f t="shared" si="26"/>
        <v>0</v>
      </c>
      <c r="G140" s="1379">
        <f t="shared" si="26"/>
        <v>0</v>
      </c>
      <c r="H140" s="1379">
        <f>SUM(H136:H139)</f>
        <v>4000</v>
      </c>
      <c r="I140" s="1379">
        <f>SUM(I136:I139)</f>
        <v>4000</v>
      </c>
      <c r="J140" s="1379">
        <f>SUM(J136:J139)</f>
        <v>0</v>
      </c>
      <c r="K140" s="1379">
        <f>SUM(K136:K139)</f>
        <v>4000</v>
      </c>
      <c r="L140" s="1379">
        <f t="shared" ref="L140" si="27">SUM(L136:L139)</f>
        <v>4000</v>
      </c>
      <c r="M140" s="1380"/>
      <c r="N140" s="1381"/>
      <c r="O140" s="729">
        <f t="shared" si="23"/>
        <v>4000</v>
      </c>
    </row>
    <row r="141" spans="1:15" s="751" customFormat="1" ht="26.25" customHeight="1" thickBot="1" x14ac:dyDescent="0.25">
      <c r="A141" s="724" t="s">
        <v>275</v>
      </c>
      <c r="B141" s="1652" t="s">
        <v>50</v>
      </c>
      <c r="C141" s="1653"/>
      <c r="D141" s="1653"/>
      <c r="E141" s="1653"/>
      <c r="F141" s="1653"/>
      <c r="G141" s="1653"/>
      <c r="H141" s="1653"/>
      <c r="I141" s="1653"/>
      <c r="J141" s="1653"/>
      <c r="K141" s="1653"/>
      <c r="L141" s="1653"/>
      <c r="M141" s="1653"/>
      <c r="N141" s="1654"/>
      <c r="O141" s="729"/>
    </row>
    <row r="142" spans="1:15" s="748" customFormat="1" ht="38.25" customHeight="1" x14ac:dyDescent="0.2">
      <c r="A142" s="727" t="s">
        <v>61</v>
      </c>
      <c r="B142" s="739" t="s">
        <v>526</v>
      </c>
      <c r="C142" s="1655"/>
      <c r="D142" s="1655"/>
      <c r="E142" s="1655"/>
      <c r="F142" s="1655"/>
      <c r="G142" s="1655"/>
      <c r="H142" s="1655"/>
      <c r="I142" s="1655"/>
      <c r="J142" s="1655"/>
      <c r="K142" s="1655"/>
      <c r="L142" s="1650"/>
      <c r="M142" s="1650"/>
      <c r="N142" s="1651"/>
      <c r="O142" s="729"/>
    </row>
    <row r="143" spans="1:15" s="748" customFormat="1" ht="18.95" customHeight="1" x14ac:dyDescent="0.2">
      <c r="A143" s="731"/>
      <c r="B143" s="732" t="s">
        <v>41</v>
      </c>
      <c r="C143" s="1266">
        <v>0</v>
      </c>
      <c r="D143" s="1266"/>
      <c r="E143" s="1266">
        <f>C143+D143</f>
        <v>0</v>
      </c>
      <c r="F143" s="1266"/>
      <c r="G143" s="1266">
        <f>E143+F143</f>
        <v>0</v>
      </c>
      <c r="H143" s="1266"/>
      <c r="I143" s="1266">
        <f>G143+H143</f>
        <v>0</v>
      </c>
      <c r="J143" s="1266"/>
      <c r="K143" s="1266">
        <f>I143+J143</f>
        <v>0</v>
      </c>
      <c r="L143" s="1267"/>
      <c r="M143" s="1267"/>
      <c r="N143" s="1268"/>
      <c r="O143" s="729">
        <f t="shared" si="23"/>
        <v>0</v>
      </c>
    </row>
    <row r="144" spans="1:15" s="748" customFormat="1" ht="39" customHeight="1" x14ac:dyDescent="0.2">
      <c r="A144" s="731"/>
      <c r="B144" s="732" t="s">
        <v>309</v>
      </c>
      <c r="C144" s="1266">
        <v>0</v>
      </c>
      <c r="D144" s="1266"/>
      <c r="E144" s="1266">
        <f>C144+D144</f>
        <v>0</v>
      </c>
      <c r="F144" s="1266"/>
      <c r="G144" s="1266">
        <f>E144+F144</f>
        <v>0</v>
      </c>
      <c r="H144" s="1266"/>
      <c r="I144" s="1266">
        <f>G144+H144</f>
        <v>0</v>
      </c>
      <c r="J144" s="1266"/>
      <c r="K144" s="1266">
        <f>I144+J144</f>
        <v>0</v>
      </c>
      <c r="L144" s="1267"/>
      <c r="M144" s="1267"/>
      <c r="N144" s="1268"/>
      <c r="O144" s="729">
        <f t="shared" si="23"/>
        <v>0</v>
      </c>
    </row>
    <row r="145" spans="1:15" s="748" customFormat="1" ht="18.95" customHeight="1" x14ac:dyDescent="0.2">
      <c r="A145" s="731"/>
      <c r="B145" s="732" t="s">
        <v>133</v>
      </c>
      <c r="C145" s="1508">
        <v>6200</v>
      </c>
      <c r="D145" s="1508"/>
      <c r="E145" s="1508">
        <f>C145+D145</f>
        <v>6200</v>
      </c>
      <c r="F145" s="1508"/>
      <c r="G145" s="1508">
        <f>E145+F145</f>
        <v>6200</v>
      </c>
      <c r="H145" s="1508"/>
      <c r="I145" s="1508">
        <f>G145+H145</f>
        <v>6200</v>
      </c>
      <c r="J145" s="1508"/>
      <c r="K145" s="1266">
        <f>I145+J145</f>
        <v>6200</v>
      </c>
      <c r="L145" s="1509"/>
      <c r="M145" s="1508">
        <v>6200</v>
      </c>
      <c r="N145" s="1268"/>
      <c r="O145" s="729">
        <f t="shared" si="23"/>
        <v>6200</v>
      </c>
    </row>
    <row r="146" spans="1:15" s="748" customFormat="1" ht="18.95" customHeight="1" x14ac:dyDescent="0.2">
      <c r="A146" s="731"/>
      <c r="B146" s="732" t="s">
        <v>51</v>
      </c>
      <c r="C146" s="1508">
        <v>0</v>
      </c>
      <c r="D146" s="1508"/>
      <c r="E146" s="1508">
        <f>C146+D146</f>
        <v>0</v>
      </c>
      <c r="F146" s="1508"/>
      <c r="G146" s="1508">
        <f>E146+F146</f>
        <v>0</v>
      </c>
      <c r="H146" s="1508"/>
      <c r="I146" s="1508">
        <f>G146+H146</f>
        <v>0</v>
      </c>
      <c r="J146" s="1508"/>
      <c r="K146" s="1266">
        <f>I146+J146</f>
        <v>0</v>
      </c>
      <c r="L146" s="1509"/>
      <c r="M146" s="1508">
        <v>0</v>
      </c>
      <c r="N146" s="1268"/>
      <c r="O146" s="729">
        <f t="shared" si="23"/>
        <v>0</v>
      </c>
    </row>
    <row r="147" spans="1:15" s="748" customFormat="1" ht="21" customHeight="1" x14ac:dyDescent="0.2">
      <c r="A147" s="735"/>
      <c r="B147" s="736" t="s">
        <v>180</v>
      </c>
      <c r="C147" s="1510">
        <f t="shared" ref="C147:N147" si="28">SUM(C143:C146)</f>
        <v>6200</v>
      </c>
      <c r="D147" s="1510">
        <f t="shared" si="28"/>
        <v>0</v>
      </c>
      <c r="E147" s="1510">
        <f t="shared" si="28"/>
        <v>6200</v>
      </c>
      <c r="F147" s="1510">
        <f t="shared" si="28"/>
        <v>0</v>
      </c>
      <c r="G147" s="1510">
        <f t="shared" si="28"/>
        <v>6200</v>
      </c>
      <c r="H147" s="1510">
        <f>SUM(H143:H146)</f>
        <v>0</v>
      </c>
      <c r="I147" s="1510">
        <f>SUM(I143:I146)</f>
        <v>6200</v>
      </c>
      <c r="J147" s="1510">
        <f>SUM(J143:J146)</f>
        <v>0</v>
      </c>
      <c r="K147" s="1510">
        <f>SUM(K143:K146)</f>
        <v>6200</v>
      </c>
      <c r="L147" s="1510">
        <f t="shared" si="28"/>
        <v>0</v>
      </c>
      <c r="M147" s="1510">
        <f t="shared" si="28"/>
        <v>6200</v>
      </c>
      <c r="N147" s="1269">
        <f t="shared" si="28"/>
        <v>0</v>
      </c>
      <c r="O147" s="729">
        <f>L147+M147+N147</f>
        <v>6200</v>
      </c>
    </row>
    <row r="148" spans="1:15" s="748" customFormat="1" ht="30.95" customHeight="1" x14ac:dyDescent="0.2">
      <c r="A148" s="727" t="s">
        <v>62</v>
      </c>
      <c r="B148" s="1662" t="s">
        <v>912</v>
      </c>
      <c r="C148" s="1663"/>
      <c r="D148" s="1663"/>
      <c r="E148" s="1663"/>
      <c r="F148" s="1663"/>
      <c r="G148" s="1663"/>
      <c r="H148" s="1663"/>
      <c r="I148" s="1663"/>
      <c r="J148" s="1663"/>
      <c r="K148" s="1663"/>
      <c r="L148" s="1663"/>
      <c r="M148" s="1663"/>
      <c r="N148" s="1664"/>
      <c r="O148" s="729">
        <f t="shared" ref="O148:O165" si="29">L148+M148+N148</f>
        <v>0</v>
      </c>
    </row>
    <row r="149" spans="1:15" s="748" customFormat="1" ht="21" customHeight="1" x14ac:dyDescent="0.2">
      <c r="A149" s="731"/>
      <c r="B149" s="732" t="s">
        <v>41</v>
      </c>
      <c r="C149" s="1374">
        <v>0</v>
      </c>
      <c r="D149" s="1374"/>
      <c r="E149" s="1374">
        <f>C149+D149</f>
        <v>0</v>
      </c>
      <c r="F149" s="1375"/>
      <c r="G149" s="1375"/>
      <c r="H149" s="1376"/>
      <c r="I149" s="1376">
        <f>G149+H149</f>
        <v>0</v>
      </c>
      <c r="J149" s="1376"/>
      <c r="K149" s="1376">
        <f>I149+J149</f>
        <v>0</v>
      </c>
      <c r="L149" s="1376"/>
      <c r="M149" s="1377"/>
      <c r="N149" s="1378"/>
      <c r="O149" s="729">
        <f t="shared" si="29"/>
        <v>0</v>
      </c>
    </row>
    <row r="150" spans="1:15" s="748" customFormat="1" ht="39" customHeight="1" x14ac:dyDescent="0.2">
      <c r="A150" s="731"/>
      <c r="B150" s="732" t="s">
        <v>309</v>
      </c>
      <c r="C150" s="1374">
        <v>0</v>
      </c>
      <c r="D150" s="1374"/>
      <c r="E150" s="1374">
        <f t="shared" ref="E150:E152" si="30">C150+D150</f>
        <v>0</v>
      </c>
      <c r="F150" s="1375"/>
      <c r="G150" s="1375"/>
      <c r="H150" s="1376"/>
      <c r="I150" s="1376">
        <f>G150+H150</f>
        <v>0</v>
      </c>
      <c r="J150" s="1376"/>
      <c r="K150" s="1376">
        <f>I150+J150</f>
        <v>0</v>
      </c>
      <c r="L150" s="1376"/>
      <c r="M150" s="1377"/>
      <c r="N150" s="1378"/>
      <c r="O150" s="729">
        <f t="shared" si="29"/>
        <v>0</v>
      </c>
    </row>
    <row r="151" spans="1:15" s="748" customFormat="1" ht="21" customHeight="1" x14ac:dyDescent="0.2">
      <c r="A151" s="731"/>
      <c r="B151" s="732" t="s">
        <v>133</v>
      </c>
      <c r="C151" s="1374">
        <v>0</v>
      </c>
      <c r="D151" s="1374"/>
      <c r="E151" s="1374">
        <v>4620</v>
      </c>
      <c r="F151" s="1377">
        <v>10372</v>
      </c>
      <c r="G151" s="1374">
        <f>E151+F151</f>
        <v>14992</v>
      </c>
      <c r="H151" s="1374"/>
      <c r="I151" s="1374">
        <f>G151+H151</f>
        <v>14992</v>
      </c>
      <c r="J151" s="1374"/>
      <c r="K151" s="1376">
        <f>I151+J151</f>
        <v>14992</v>
      </c>
      <c r="L151" s="1397">
        <v>14992</v>
      </c>
      <c r="M151" s="1377"/>
      <c r="N151" s="1378"/>
      <c r="O151" s="729">
        <f t="shared" si="29"/>
        <v>14992</v>
      </c>
    </row>
    <row r="152" spans="1:15" s="748" customFormat="1" ht="21" customHeight="1" x14ac:dyDescent="0.2">
      <c r="A152" s="731"/>
      <c r="B152" s="732" t="s">
        <v>51</v>
      </c>
      <c r="C152" s="1374">
        <v>0</v>
      </c>
      <c r="D152" s="1374"/>
      <c r="E152" s="1374">
        <f t="shared" si="30"/>
        <v>0</v>
      </c>
      <c r="F152" s="1377"/>
      <c r="G152" s="1374">
        <f>E152+F152</f>
        <v>0</v>
      </c>
      <c r="H152" s="1374"/>
      <c r="I152" s="1374">
        <f>G152+H152</f>
        <v>0</v>
      </c>
      <c r="J152" s="1374"/>
      <c r="K152" s="1376">
        <f>I152+J152</f>
        <v>0</v>
      </c>
      <c r="L152" s="1397"/>
      <c r="M152" s="1377"/>
      <c r="N152" s="1378"/>
      <c r="O152" s="729">
        <f t="shared" si="29"/>
        <v>0</v>
      </c>
    </row>
    <row r="153" spans="1:15" s="748" customFormat="1" ht="23.1" customHeight="1" thickBot="1" x14ac:dyDescent="0.25">
      <c r="A153" s="749"/>
      <c r="B153" s="750" t="s">
        <v>180</v>
      </c>
      <c r="C153" s="1379">
        <f>SUM(C149:C152)</f>
        <v>0</v>
      </c>
      <c r="D153" s="1379">
        <f t="shared" ref="D153:L153" si="31">SUM(D149:D152)</f>
        <v>0</v>
      </c>
      <c r="E153" s="1379">
        <f t="shared" si="31"/>
        <v>4620</v>
      </c>
      <c r="F153" s="1379">
        <f t="shared" si="31"/>
        <v>10372</v>
      </c>
      <c r="G153" s="1379">
        <f t="shared" si="31"/>
        <v>14992</v>
      </c>
      <c r="H153" s="1379">
        <f>SUM(H149:H152)</f>
        <v>0</v>
      </c>
      <c r="I153" s="1379">
        <f>SUM(I149:I152)</f>
        <v>14992</v>
      </c>
      <c r="J153" s="1379">
        <f>SUM(J149:J152)</f>
        <v>0</v>
      </c>
      <c r="K153" s="1379">
        <f>SUM(K149:K152)</f>
        <v>14992</v>
      </c>
      <c r="L153" s="1379">
        <f t="shared" si="31"/>
        <v>14992</v>
      </c>
      <c r="M153" s="1380">
        <f>SUM(M149:M152)</f>
        <v>0</v>
      </c>
      <c r="N153" s="1381"/>
      <c r="O153" s="729">
        <f t="shared" si="29"/>
        <v>14992</v>
      </c>
    </row>
    <row r="154" spans="1:15" s="748" customFormat="1" ht="30.95" customHeight="1" x14ac:dyDescent="0.2">
      <c r="A154" s="727" t="s">
        <v>63</v>
      </c>
      <c r="B154" s="1662" t="s">
        <v>913</v>
      </c>
      <c r="C154" s="1663"/>
      <c r="D154" s="1663"/>
      <c r="E154" s="1663"/>
      <c r="F154" s="1663"/>
      <c r="G154" s="1663"/>
      <c r="H154" s="1663"/>
      <c r="I154" s="1663"/>
      <c r="J154" s="1663"/>
      <c r="K154" s="1663"/>
      <c r="L154" s="1663"/>
      <c r="M154" s="1663"/>
      <c r="N154" s="1664"/>
      <c r="O154" s="729">
        <f t="shared" si="29"/>
        <v>0</v>
      </c>
    </row>
    <row r="155" spans="1:15" s="748" customFormat="1" ht="21" customHeight="1" x14ac:dyDescent="0.2">
      <c r="A155" s="731"/>
      <c r="B155" s="732" t="s">
        <v>41</v>
      </c>
      <c r="C155" s="1374">
        <v>0</v>
      </c>
      <c r="D155" s="1374"/>
      <c r="E155" s="1374">
        <v>1658</v>
      </c>
      <c r="F155" s="1377"/>
      <c r="G155" s="1377">
        <f>E155+F155</f>
        <v>1658</v>
      </c>
      <c r="H155" s="1397"/>
      <c r="I155" s="1397">
        <f>G155+H155</f>
        <v>1658</v>
      </c>
      <c r="J155" s="1397"/>
      <c r="K155" s="1397">
        <f>I155+J155</f>
        <v>1658</v>
      </c>
      <c r="L155" s="1397">
        <v>0</v>
      </c>
      <c r="M155" s="1377">
        <v>1658</v>
      </c>
      <c r="N155" s="1378"/>
      <c r="O155" s="729">
        <f t="shared" si="29"/>
        <v>1658</v>
      </c>
    </row>
    <row r="156" spans="1:15" s="748" customFormat="1" ht="39" customHeight="1" x14ac:dyDescent="0.2">
      <c r="A156" s="731"/>
      <c r="B156" s="732" t="s">
        <v>309</v>
      </c>
      <c r="C156" s="1374">
        <v>0</v>
      </c>
      <c r="D156" s="1374"/>
      <c r="E156" s="1374">
        <v>447</v>
      </c>
      <c r="F156" s="1377"/>
      <c r="G156" s="1377">
        <f>E156+F156</f>
        <v>447</v>
      </c>
      <c r="H156" s="1397"/>
      <c r="I156" s="1397">
        <f>G156+H156</f>
        <v>447</v>
      </c>
      <c r="J156" s="1397"/>
      <c r="K156" s="1397">
        <f>I156+J156</f>
        <v>447</v>
      </c>
      <c r="L156" s="1397">
        <v>0</v>
      </c>
      <c r="M156" s="1377">
        <v>447</v>
      </c>
      <c r="N156" s="1378"/>
      <c r="O156" s="729">
        <f t="shared" si="29"/>
        <v>447</v>
      </c>
    </row>
    <row r="157" spans="1:15" s="748" customFormat="1" ht="21" customHeight="1" x14ac:dyDescent="0.2">
      <c r="A157" s="731"/>
      <c r="B157" s="732" t="s">
        <v>133</v>
      </c>
      <c r="C157" s="1374">
        <v>0</v>
      </c>
      <c r="D157" s="1374"/>
      <c r="E157" s="1374">
        <v>32895</v>
      </c>
      <c r="F157" s="1377"/>
      <c r="G157" s="1374">
        <f>E157+F157</f>
        <v>32895</v>
      </c>
      <c r="H157" s="1374"/>
      <c r="I157" s="1374">
        <f>G157+H157</f>
        <v>32895</v>
      </c>
      <c r="J157" s="1374">
        <f>429+171</f>
        <v>600</v>
      </c>
      <c r="K157" s="1397">
        <f>I157+J157</f>
        <v>33495</v>
      </c>
      <c r="L157" s="1397">
        <v>0</v>
      </c>
      <c r="M157" s="1377">
        <v>33495</v>
      </c>
      <c r="N157" s="1378"/>
      <c r="O157" s="729">
        <f t="shared" si="29"/>
        <v>33495</v>
      </c>
    </row>
    <row r="158" spans="1:15" s="748" customFormat="1" ht="21" customHeight="1" x14ac:dyDescent="0.2">
      <c r="A158" s="731"/>
      <c r="B158" s="732" t="s">
        <v>51</v>
      </c>
      <c r="C158" s="1374">
        <v>0</v>
      </c>
      <c r="D158" s="1374"/>
      <c r="E158" s="1374">
        <f t="shared" ref="E158" si="32">C158+D158</f>
        <v>0</v>
      </c>
      <c r="F158" s="1375"/>
      <c r="G158" s="1374">
        <v>0</v>
      </c>
      <c r="H158" s="1374"/>
      <c r="I158" s="1374">
        <f>G158+H158</f>
        <v>0</v>
      </c>
      <c r="J158" s="1374"/>
      <c r="K158" s="1397">
        <f>I158+J158</f>
        <v>0</v>
      </c>
      <c r="L158" s="1376"/>
      <c r="M158" s="1377"/>
      <c r="N158" s="1378"/>
      <c r="O158" s="729">
        <f t="shared" si="29"/>
        <v>0</v>
      </c>
    </row>
    <row r="159" spans="1:15" s="748" customFormat="1" ht="23.1" customHeight="1" thickBot="1" x14ac:dyDescent="0.25">
      <c r="A159" s="749"/>
      <c r="B159" s="750" t="s">
        <v>180</v>
      </c>
      <c r="C159" s="1379">
        <f>SUM(C155:C158)</f>
        <v>0</v>
      </c>
      <c r="D159" s="1379">
        <f t="shared" ref="D159:L159" si="33">SUM(D155:D158)</f>
        <v>0</v>
      </c>
      <c r="E159" s="1379">
        <f t="shared" si="33"/>
        <v>35000</v>
      </c>
      <c r="F159" s="1379">
        <f t="shared" si="33"/>
        <v>0</v>
      </c>
      <c r="G159" s="1379">
        <f t="shared" si="33"/>
        <v>35000</v>
      </c>
      <c r="H159" s="1379">
        <f>SUM(H155:H158)</f>
        <v>0</v>
      </c>
      <c r="I159" s="1379">
        <f>SUM(I155:I158)</f>
        <v>35000</v>
      </c>
      <c r="J159" s="1379">
        <f>SUM(J155:J158)</f>
        <v>600</v>
      </c>
      <c r="K159" s="1379">
        <f>SUM(K155:K158)</f>
        <v>35600</v>
      </c>
      <c r="L159" s="1379">
        <f t="shared" si="33"/>
        <v>0</v>
      </c>
      <c r="M159" s="1380">
        <f>SUM(M155:M158)</f>
        <v>35600</v>
      </c>
      <c r="N159" s="1381"/>
      <c r="O159" s="729">
        <f t="shared" si="29"/>
        <v>35600</v>
      </c>
    </row>
    <row r="160" spans="1:15" s="748" customFormat="1" ht="30.95" customHeight="1" x14ac:dyDescent="0.2">
      <c r="A160" s="727" t="s">
        <v>64</v>
      </c>
      <c r="B160" s="1662" t="s">
        <v>914</v>
      </c>
      <c r="C160" s="1663"/>
      <c r="D160" s="1663"/>
      <c r="E160" s="1663"/>
      <c r="F160" s="1663"/>
      <c r="G160" s="1663"/>
      <c r="H160" s="1663"/>
      <c r="I160" s="1663"/>
      <c r="J160" s="1663"/>
      <c r="K160" s="1663"/>
      <c r="L160" s="1663"/>
      <c r="M160" s="1663"/>
      <c r="N160" s="1664"/>
      <c r="O160" s="729">
        <f t="shared" si="29"/>
        <v>0</v>
      </c>
    </row>
    <row r="161" spans="1:15" s="748" customFormat="1" ht="21" customHeight="1" x14ac:dyDescent="0.2">
      <c r="A161" s="731"/>
      <c r="B161" s="732" t="s">
        <v>41</v>
      </c>
      <c r="C161" s="1374">
        <v>0</v>
      </c>
      <c r="D161" s="1374"/>
      <c r="E161" s="1374">
        <f>C161+D161</f>
        <v>0</v>
      </c>
      <c r="F161" s="1375"/>
      <c r="G161" s="1375"/>
      <c r="H161" s="1376"/>
      <c r="I161" s="1376">
        <f>G161+H161</f>
        <v>0</v>
      </c>
      <c r="J161" s="1376"/>
      <c r="K161" s="1376">
        <f>I161+J161</f>
        <v>0</v>
      </c>
      <c r="L161" s="1376"/>
      <c r="M161" s="1377"/>
      <c r="N161" s="1378"/>
      <c r="O161" s="729">
        <f t="shared" si="29"/>
        <v>0</v>
      </c>
    </row>
    <row r="162" spans="1:15" s="748" customFormat="1" ht="39" customHeight="1" x14ac:dyDescent="0.2">
      <c r="A162" s="731"/>
      <c r="B162" s="732" t="s">
        <v>309</v>
      </c>
      <c r="C162" s="1374">
        <v>0</v>
      </c>
      <c r="D162" s="1374"/>
      <c r="E162" s="1374">
        <f t="shared" ref="E162:E164" si="34">C162+D162</f>
        <v>0</v>
      </c>
      <c r="F162" s="1375"/>
      <c r="G162" s="1375"/>
      <c r="H162" s="1376"/>
      <c r="I162" s="1376">
        <f>G162+H162</f>
        <v>0</v>
      </c>
      <c r="J162" s="1376"/>
      <c r="K162" s="1376">
        <f>I162+J162</f>
        <v>0</v>
      </c>
      <c r="L162" s="1376"/>
      <c r="M162" s="1377"/>
      <c r="N162" s="1378"/>
      <c r="O162" s="729">
        <f t="shared" si="29"/>
        <v>0</v>
      </c>
    </row>
    <row r="163" spans="1:15" s="748" customFormat="1" ht="21" customHeight="1" x14ac:dyDescent="0.2">
      <c r="A163" s="731"/>
      <c r="B163" s="732" t="s">
        <v>133</v>
      </c>
      <c r="C163" s="1374"/>
      <c r="D163" s="1374"/>
      <c r="E163" s="1374">
        <v>150</v>
      </c>
      <c r="F163" s="1377"/>
      <c r="G163" s="1374">
        <f>E163+F163</f>
        <v>150</v>
      </c>
      <c r="H163" s="1374"/>
      <c r="I163" s="1374">
        <f>G163+H163</f>
        <v>150</v>
      </c>
      <c r="J163" s="1374"/>
      <c r="K163" s="1376">
        <f>I163+J163</f>
        <v>150</v>
      </c>
      <c r="L163" s="1376"/>
      <c r="M163" s="1377">
        <v>150</v>
      </c>
      <c r="N163" s="1378"/>
      <c r="O163" s="729">
        <f t="shared" si="29"/>
        <v>150</v>
      </c>
    </row>
    <row r="164" spans="1:15" s="748" customFormat="1" ht="21" customHeight="1" x14ac:dyDescent="0.2">
      <c r="A164" s="731"/>
      <c r="B164" s="732" t="s">
        <v>51</v>
      </c>
      <c r="C164" s="1374">
        <v>0</v>
      </c>
      <c r="D164" s="1374"/>
      <c r="E164" s="1374">
        <f t="shared" si="34"/>
        <v>0</v>
      </c>
      <c r="F164" s="1377"/>
      <c r="G164" s="1374">
        <v>0</v>
      </c>
      <c r="H164" s="1374"/>
      <c r="I164" s="1374">
        <f>G164+H164</f>
        <v>0</v>
      </c>
      <c r="J164" s="1374"/>
      <c r="K164" s="1376">
        <f>I164+J164</f>
        <v>0</v>
      </c>
      <c r="L164" s="1376"/>
      <c r="M164" s="1377"/>
      <c r="N164" s="1378"/>
      <c r="O164" s="729">
        <f t="shared" si="29"/>
        <v>0</v>
      </c>
    </row>
    <row r="165" spans="1:15" s="748" customFormat="1" ht="23.1" customHeight="1" thickBot="1" x14ac:dyDescent="0.25">
      <c r="A165" s="749"/>
      <c r="B165" s="750" t="s">
        <v>180</v>
      </c>
      <c r="C165" s="1379">
        <f>SUM(C161:C164)</f>
        <v>0</v>
      </c>
      <c r="D165" s="1379">
        <f t="shared" ref="D165:L165" si="35">SUM(D161:D164)</f>
        <v>0</v>
      </c>
      <c r="E165" s="1379">
        <f t="shared" si="35"/>
        <v>150</v>
      </c>
      <c r="F165" s="1379">
        <f t="shared" si="35"/>
        <v>0</v>
      </c>
      <c r="G165" s="1379">
        <f t="shared" si="35"/>
        <v>150</v>
      </c>
      <c r="H165" s="1379">
        <f>SUM(H161:H164)</f>
        <v>0</v>
      </c>
      <c r="I165" s="1379">
        <f>SUM(I161:I164)</f>
        <v>150</v>
      </c>
      <c r="J165" s="1379">
        <f>SUM(J161:J164)</f>
        <v>0</v>
      </c>
      <c r="K165" s="1379">
        <f>SUM(K161:K164)</f>
        <v>150</v>
      </c>
      <c r="L165" s="1379">
        <f t="shared" si="35"/>
        <v>0</v>
      </c>
      <c r="M165" s="1380">
        <f>SUM(M161:M164)</f>
        <v>150</v>
      </c>
      <c r="N165" s="1381"/>
      <c r="O165" s="729">
        <f t="shared" si="29"/>
        <v>150</v>
      </c>
    </row>
    <row r="166" spans="1:15" s="748" customFormat="1" ht="30.95" customHeight="1" x14ac:dyDescent="0.2">
      <c r="A166" s="727" t="s">
        <v>65</v>
      </c>
      <c r="B166" s="1662" t="s">
        <v>956</v>
      </c>
      <c r="C166" s="1663"/>
      <c r="D166" s="1663"/>
      <c r="E166" s="1663"/>
      <c r="F166" s="1663"/>
      <c r="G166" s="1663"/>
      <c r="H166" s="1663"/>
      <c r="I166" s="1663"/>
      <c r="J166" s="1663"/>
      <c r="K166" s="1663"/>
      <c r="L166" s="1663"/>
      <c r="M166" s="1663"/>
      <c r="N166" s="1664"/>
      <c r="O166" s="729">
        <f t="shared" ref="O166:O171" si="36">L166+M166+N166</f>
        <v>0</v>
      </c>
    </row>
    <row r="167" spans="1:15" s="748" customFormat="1" ht="21" customHeight="1" x14ac:dyDescent="0.2">
      <c r="A167" s="731"/>
      <c r="B167" s="732" t="s">
        <v>41</v>
      </c>
      <c r="C167" s="1374">
        <v>0</v>
      </c>
      <c r="D167" s="1374"/>
      <c r="E167" s="1374">
        <f>C167+D167</f>
        <v>0</v>
      </c>
      <c r="F167" s="1375"/>
      <c r="G167" s="1375"/>
      <c r="H167" s="1376"/>
      <c r="I167" s="1376">
        <f>G167+H167</f>
        <v>0</v>
      </c>
      <c r="J167" s="1376"/>
      <c r="K167" s="1376">
        <f>I167+J167</f>
        <v>0</v>
      </c>
      <c r="L167" s="1376"/>
      <c r="M167" s="1377"/>
      <c r="N167" s="1378"/>
      <c r="O167" s="729">
        <f t="shared" si="36"/>
        <v>0</v>
      </c>
    </row>
    <row r="168" spans="1:15" s="748" customFormat="1" ht="39" customHeight="1" x14ac:dyDescent="0.2">
      <c r="A168" s="731"/>
      <c r="B168" s="732" t="s">
        <v>309</v>
      </c>
      <c r="C168" s="1374">
        <v>0</v>
      </c>
      <c r="D168" s="1374"/>
      <c r="E168" s="1374">
        <f t="shared" ref="E168" si="37">C168+D168</f>
        <v>0</v>
      </c>
      <c r="F168" s="1375"/>
      <c r="G168" s="1375"/>
      <c r="H168" s="1376"/>
      <c r="I168" s="1376">
        <f>G168+H168</f>
        <v>0</v>
      </c>
      <c r="J168" s="1376"/>
      <c r="K168" s="1376">
        <f>I168+J168</f>
        <v>0</v>
      </c>
      <c r="L168" s="1376"/>
      <c r="M168" s="1377"/>
      <c r="N168" s="1378"/>
      <c r="O168" s="729">
        <f t="shared" si="36"/>
        <v>0</v>
      </c>
    </row>
    <row r="169" spans="1:15" s="748" customFormat="1" ht="21" customHeight="1" x14ac:dyDescent="0.2">
      <c r="A169" s="731"/>
      <c r="B169" s="732" t="s">
        <v>133</v>
      </c>
      <c r="C169" s="1374"/>
      <c r="D169" s="1374"/>
      <c r="E169" s="1374">
        <v>150</v>
      </c>
      <c r="F169" s="1377"/>
      <c r="G169" s="1374"/>
      <c r="H169" s="1374">
        <v>200</v>
      </c>
      <c r="I169" s="1374">
        <f>G169+H169</f>
        <v>200</v>
      </c>
      <c r="J169" s="1374">
        <v>305</v>
      </c>
      <c r="K169" s="1376">
        <f>I169+J169</f>
        <v>505</v>
      </c>
      <c r="L169" s="1376"/>
      <c r="M169" s="1377">
        <v>505</v>
      </c>
      <c r="N169" s="1378"/>
      <c r="O169" s="729">
        <f t="shared" si="36"/>
        <v>505</v>
      </c>
    </row>
    <row r="170" spans="1:15" s="748" customFormat="1" ht="21" customHeight="1" x14ac:dyDescent="0.2">
      <c r="A170" s="731"/>
      <c r="B170" s="732" t="s">
        <v>51</v>
      </c>
      <c r="C170" s="1374">
        <v>0</v>
      </c>
      <c r="D170" s="1374"/>
      <c r="E170" s="1374">
        <f t="shared" ref="E170" si="38">C170+D170</f>
        <v>0</v>
      </c>
      <c r="F170" s="1377"/>
      <c r="G170" s="1374">
        <v>0</v>
      </c>
      <c r="H170" s="1374"/>
      <c r="I170" s="1374">
        <f>G170+H170</f>
        <v>0</v>
      </c>
      <c r="J170" s="1374"/>
      <c r="K170" s="1376">
        <f>I170+J170</f>
        <v>0</v>
      </c>
      <c r="L170" s="1376"/>
      <c r="M170" s="1377"/>
      <c r="N170" s="1378"/>
      <c r="O170" s="729">
        <f t="shared" si="36"/>
        <v>0</v>
      </c>
    </row>
    <row r="171" spans="1:15" s="748" customFormat="1" ht="23.1" customHeight="1" thickBot="1" x14ac:dyDescent="0.25">
      <c r="A171" s="749"/>
      <c r="B171" s="750" t="s">
        <v>180</v>
      </c>
      <c r="C171" s="1379">
        <f>SUM(C167:C170)</f>
        <v>0</v>
      </c>
      <c r="D171" s="1379">
        <f t="shared" ref="D171:G171" si="39">SUM(D167:D170)</f>
        <v>0</v>
      </c>
      <c r="E171" s="1379">
        <f t="shared" si="39"/>
        <v>150</v>
      </c>
      <c r="F171" s="1379">
        <f t="shared" si="39"/>
        <v>0</v>
      </c>
      <c r="G171" s="1379">
        <f t="shared" si="39"/>
        <v>0</v>
      </c>
      <c r="H171" s="1379">
        <f>SUM(H167:H170)</f>
        <v>200</v>
      </c>
      <c r="I171" s="1379">
        <f>SUM(I167:I170)</f>
        <v>200</v>
      </c>
      <c r="J171" s="1379">
        <f>SUM(J167:J170)</f>
        <v>305</v>
      </c>
      <c r="K171" s="1379">
        <f>SUM(K167:K170)</f>
        <v>505</v>
      </c>
      <c r="L171" s="1379">
        <f t="shared" ref="L171" si="40">SUM(L167:L170)</f>
        <v>0</v>
      </c>
      <c r="M171" s="1380">
        <f>SUM(M167:M170)</f>
        <v>505</v>
      </c>
      <c r="N171" s="1381"/>
      <c r="O171" s="729">
        <f t="shared" si="36"/>
        <v>505</v>
      </c>
    </row>
    <row r="172" spans="1:15" s="748" customFormat="1" ht="30.95" customHeight="1" x14ac:dyDescent="0.2">
      <c r="A172" s="727" t="s">
        <v>66</v>
      </c>
      <c r="B172" s="1662" t="s">
        <v>957</v>
      </c>
      <c r="C172" s="1663"/>
      <c r="D172" s="1663"/>
      <c r="E172" s="1663"/>
      <c r="F172" s="1663"/>
      <c r="G172" s="1663"/>
      <c r="H172" s="1663"/>
      <c r="I172" s="1663"/>
      <c r="J172" s="1663"/>
      <c r="K172" s="1663"/>
      <c r="L172" s="1663"/>
      <c r="M172" s="1663"/>
      <c r="N172" s="1664"/>
      <c r="O172" s="729">
        <f t="shared" ref="O172:O177" si="41">L172+M172+N172</f>
        <v>0</v>
      </c>
    </row>
    <row r="173" spans="1:15" s="748" customFormat="1" ht="21" customHeight="1" x14ac:dyDescent="0.2">
      <c r="A173" s="731"/>
      <c r="B173" s="732" t="s">
        <v>41</v>
      </c>
      <c r="C173" s="1374">
        <v>0</v>
      </c>
      <c r="D173" s="1374"/>
      <c r="E173" s="1374">
        <f>C173+D173</f>
        <v>0</v>
      </c>
      <c r="F173" s="1375"/>
      <c r="G173" s="1375"/>
      <c r="H173" s="1376"/>
      <c r="I173" s="1376">
        <f>G173+H173</f>
        <v>0</v>
      </c>
      <c r="J173" s="1376"/>
      <c r="K173" s="1376">
        <f>I173+J173</f>
        <v>0</v>
      </c>
      <c r="L173" s="1376"/>
      <c r="M173" s="1377"/>
      <c r="N173" s="1378"/>
      <c r="O173" s="729">
        <f t="shared" si="41"/>
        <v>0</v>
      </c>
    </row>
    <row r="174" spans="1:15" s="748" customFormat="1" ht="39" customHeight="1" x14ac:dyDescent="0.2">
      <c r="A174" s="731"/>
      <c r="B174" s="732" t="s">
        <v>309</v>
      </c>
      <c r="C174" s="1374">
        <v>0</v>
      </c>
      <c r="D174" s="1374"/>
      <c r="E174" s="1374">
        <f t="shared" ref="E174" si="42">C174+D174</f>
        <v>0</v>
      </c>
      <c r="F174" s="1375"/>
      <c r="G174" s="1375"/>
      <c r="H174" s="1376"/>
      <c r="I174" s="1376">
        <f>G174+H174</f>
        <v>0</v>
      </c>
      <c r="J174" s="1376"/>
      <c r="K174" s="1376">
        <f>I174+J174</f>
        <v>0</v>
      </c>
      <c r="L174" s="1376"/>
      <c r="M174" s="1377"/>
      <c r="N174" s="1378"/>
      <c r="O174" s="729">
        <f t="shared" si="41"/>
        <v>0</v>
      </c>
    </row>
    <row r="175" spans="1:15" s="748" customFormat="1" ht="21" customHeight="1" x14ac:dyDescent="0.2">
      <c r="A175" s="731"/>
      <c r="B175" s="732" t="s">
        <v>133</v>
      </c>
      <c r="C175" s="1374"/>
      <c r="D175" s="1374"/>
      <c r="E175" s="1374">
        <v>150</v>
      </c>
      <c r="F175" s="1377"/>
      <c r="G175" s="1374"/>
      <c r="H175" s="1374">
        <v>110</v>
      </c>
      <c r="I175" s="1374">
        <f>G175+H175</f>
        <v>110</v>
      </c>
      <c r="J175" s="1374"/>
      <c r="K175" s="1376">
        <f>I175+J175</f>
        <v>110</v>
      </c>
      <c r="L175" s="1376"/>
      <c r="M175" s="1377">
        <v>110</v>
      </c>
      <c r="N175" s="1378"/>
      <c r="O175" s="729">
        <f t="shared" si="41"/>
        <v>110</v>
      </c>
    </row>
    <row r="176" spans="1:15" s="748" customFormat="1" ht="21" customHeight="1" x14ac:dyDescent="0.2">
      <c r="A176" s="731"/>
      <c r="B176" s="732" t="s">
        <v>51</v>
      </c>
      <c r="C176" s="1374">
        <v>0</v>
      </c>
      <c r="D176" s="1374"/>
      <c r="E176" s="1374">
        <f t="shared" ref="E176" si="43">C176+D176</f>
        <v>0</v>
      </c>
      <c r="F176" s="1377"/>
      <c r="G176" s="1374">
        <v>0</v>
      </c>
      <c r="H176" s="1374"/>
      <c r="I176" s="1374">
        <f>G176+H176</f>
        <v>0</v>
      </c>
      <c r="J176" s="1374"/>
      <c r="K176" s="1376">
        <f>I176+J176</f>
        <v>0</v>
      </c>
      <c r="L176" s="1376"/>
      <c r="M176" s="1377"/>
      <c r="N176" s="1378"/>
      <c r="O176" s="729">
        <f t="shared" si="41"/>
        <v>0</v>
      </c>
    </row>
    <row r="177" spans="1:15" s="748" customFormat="1" ht="23.1" customHeight="1" thickBot="1" x14ac:dyDescent="0.25">
      <c r="A177" s="749"/>
      <c r="B177" s="750" t="s">
        <v>180</v>
      </c>
      <c r="C177" s="1379">
        <f>SUM(C173:C176)</f>
        <v>0</v>
      </c>
      <c r="D177" s="1379">
        <f t="shared" ref="D177:G177" si="44">SUM(D173:D176)</f>
        <v>0</v>
      </c>
      <c r="E177" s="1379">
        <f t="shared" si="44"/>
        <v>150</v>
      </c>
      <c r="F177" s="1379">
        <f t="shared" si="44"/>
        <v>0</v>
      </c>
      <c r="G177" s="1379">
        <f t="shared" si="44"/>
        <v>0</v>
      </c>
      <c r="H177" s="1379">
        <f>SUM(H173:H176)</f>
        <v>110</v>
      </c>
      <c r="I177" s="1379">
        <f>SUM(I173:I176)</f>
        <v>110</v>
      </c>
      <c r="J177" s="1379">
        <f>SUM(J173:J176)</f>
        <v>0</v>
      </c>
      <c r="K177" s="1379">
        <f>SUM(K173:K176)</f>
        <v>110</v>
      </c>
      <c r="L177" s="1379">
        <f t="shared" ref="L177" si="45">SUM(L173:L176)</f>
        <v>0</v>
      </c>
      <c r="M177" s="1380">
        <v>110</v>
      </c>
      <c r="N177" s="1381"/>
      <c r="O177" s="729">
        <f t="shared" si="41"/>
        <v>110</v>
      </c>
    </row>
    <row r="178" spans="1:15" s="748" customFormat="1" ht="30.95" customHeight="1" x14ac:dyDescent="0.2">
      <c r="A178" s="727" t="s">
        <v>67</v>
      </c>
      <c r="B178" s="1662" t="s">
        <v>958</v>
      </c>
      <c r="C178" s="1663"/>
      <c r="D178" s="1663"/>
      <c r="E178" s="1663"/>
      <c r="F178" s="1663"/>
      <c r="G178" s="1663"/>
      <c r="H178" s="1663"/>
      <c r="I178" s="1663"/>
      <c r="J178" s="1663"/>
      <c r="K178" s="1663"/>
      <c r="L178" s="1663"/>
      <c r="M178" s="1663"/>
      <c r="N178" s="1664"/>
      <c r="O178" s="729">
        <f t="shared" ref="O178:O183" si="46">L178+M178+N178</f>
        <v>0</v>
      </c>
    </row>
    <row r="179" spans="1:15" s="748" customFormat="1" ht="21" customHeight="1" x14ac:dyDescent="0.2">
      <c r="A179" s="731"/>
      <c r="B179" s="732" t="s">
        <v>41</v>
      </c>
      <c r="C179" s="1374">
        <v>0</v>
      </c>
      <c r="D179" s="1374"/>
      <c r="E179" s="1374">
        <f>C179+D179</f>
        <v>0</v>
      </c>
      <c r="F179" s="1375"/>
      <c r="G179" s="1375"/>
      <c r="H179" s="1376"/>
      <c r="I179" s="1376">
        <f>G179+H179</f>
        <v>0</v>
      </c>
      <c r="J179" s="1376"/>
      <c r="K179" s="1376">
        <f>I179+J179</f>
        <v>0</v>
      </c>
      <c r="L179" s="1376"/>
      <c r="M179" s="1377"/>
      <c r="N179" s="1378"/>
      <c r="O179" s="729">
        <f t="shared" si="46"/>
        <v>0</v>
      </c>
    </row>
    <row r="180" spans="1:15" s="748" customFormat="1" ht="39" customHeight="1" x14ac:dyDescent="0.2">
      <c r="A180" s="731"/>
      <c r="B180" s="732" t="s">
        <v>309</v>
      </c>
      <c r="C180" s="1374">
        <v>0</v>
      </c>
      <c r="D180" s="1374"/>
      <c r="E180" s="1374">
        <f t="shared" ref="E180" si="47">C180+D180</f>
        <v>0</v>
      </c>
      <c r="F180" s="1375"/>
      <c r="G180" s="1375"/>
      <c r="H180" s="1376"/>
      <c r="I180" s="1376">
        <f>G180+H180</f>
        <v>0</v>
      </c>
      <c r="J180" s="1376"/>
      <c r="K180" s="1376">
        <f>I180+J180</f>
        <v>0</v>
      </c>
      <c r="L180" s="1376"/>
      <c r="M180" s="1377"/>
      <c r="N180" s="1378"/>
      <c r="O180" s="729">
        <f t="shared" si="46"/>
        <v>0</v>
      </c>
    </row>
    <row r="181" spans="1:15" s="748" customFormat="1" ht="21" customHeight="1" x14ac:dyDescent="0.2">
      <c r="A181" s="731"/>
      <c r="B181" s="732" t="s">
        <v>133</v>
      </c>
      <c r="C181" s="1374"/>
      <c r="D181" s="1374"/>
      <c r="E181" s="1374">
        <v>150</v>
      </c>
      <c r="F181" s="1377"/>
      <c r="G181" s="1374"/>
      <c r="H181" s="1374">
        <v>685</v>
      </c>
      <c r="I181" s="1374">
        <f>G181+H181</f>
        <v>685</v>
      </c>
      <c r="J181" s="1374"/>
      <c r="K181" s="1376">
        <f>I181+J181</f>
        <v>685</v>
      </c>
      <c r="L181" s="1376"/>
      <c r="M181" s="1377">
        <v>685</v>
      </c>
      <c r="N181" s="1378"/>
      <c r="O181" s="729">
        <f t="shared" si="46"/>
        <v>685</v>
      </c>
    </row>
    <row r="182" spans="1:15" s="748" customFormat="1" ht="21" customHeight="1" x14ac:dyDescent="0.2">
      <c r="A182" s="731"/>
      <c r="B182" s="732" t="s">
        <v>51</v>
      </c>
      <c r="C182" s="1374">
        <v>0</v>
      </c>
      <c r="D182" s="1374"/>
      <c r="E182" s="1374">
        <f t="shared" ref="E182" si="48">C182+D182</f>
        <v>0</v>
      </c>
      <c r="F182" s="1377"/>
      <c r="G182" s="1374">
        <v>0</v>
      </c>
      <c r="H182" s="1374"/>
      <c r="I182" s="1374">
        <f>G182+H182</f>
        <v>0</v>
      </c>
      <c r="J182" s="1374"/>
      <c r="K182" s="1376">
        <f>I182+J182</f>
        <v>0</v>
      </c>
      <c r="L182" s="1376"/>
      <c r="M182" s="1377"/>
      <c r="N182" s="1378"/>
      <c r="O182" s="729">
        <f t="shared" si="46"/>
        <v>0</v>
      </c>
    </row>
    <row r="183" spans="1:15" s="748" customFormat="1" ht="23.1" customHeight="1" thickBot="1" x14ac:dyDescent="0.25">
      <c r="A183" s="749"/>
      <c r="B183" s="750" t="s">
        <v>180</v>
      </c>
      <c r="C183" s="1379">
        <f>SUM(C179:C182)</f>
        <v>0</v>
      </c>
      <c r="D183" s="1379">
        <f t="shared" ref="D183:G183" si="49">SUM(D179:D182)</f>
        <v>0</v>
      </c>
      <c r="E183" s="1379">
        <f t="shared" si="49"/>
        <v>150</v>
      </c>
      <c r="F183" s="1379">
        <f t="shared" si="49"/>
        <v>0</v>
      </c>
      <c r="G183" s="1379">
        <f t="shared" si="49"/>
        <v>0</v>
      </c>
      <c r="H183" s="1379">
        <f>SUM(H179:H182)</f>
        <v>685</v>
      </c>
      <c r="I183" s="1379">
        <f>SUM(I179:I182)</f>
        <v>685</v>
      </c>
      <c r="J183" s="1379">
        <f>SUM(J179:J182)</f>
        <v>0</v>
      </c>
      <c r="K183" s="1379">
        <f>SUM(K179:K182)</f>
        <v>685</v>
      </c>
      <c r="L183" s="1379">
        <f t="shared" ref="L183" si="50">SUM(L179:L182)</f>
        <v>0</v>
      </c>
      <c r="M183" s="1380">
        <v>685</v>
      </c>
      <c r="N183" s="1381"/>
      <c r="O183" s="729">
        <f t="shared" si="46"/>
        <v>685</v>
      </c>
    </row>
    <row r="184" spans="1:15" s="740" customFormat="1" ht="29.25" customHeight="1" thickBot="1" x14ac:dyDescent="0.25">
      <c r="A184" s="1668" t="s">
        <v>109</v>
      </c>
      <c r="B184" s="1669"/>
      <c r="C184" s="1670"/>
      <c r="D184" s="1671"/>
      <c r="E184" s="1671"/>
      <c r="F184" s="1671"/>
      <c r="G184" s="1671"/>
      <c r="H184" s="1671"/>
      <c r="I184" s="1671"/>
      <c r="J184" s="1671"/>
      <c r="K184" s="1671"/>
      <c r="L184" s="1672"/>
      <c r="M184" s="1672"/>
      <c r="N184" s="1673"/>
      <c r="O184" s="729"/>
    </row>
    <row r="185" spans="1:15" s="730" customFormat="1" ht="23.1" customHeight="1" x14ac:dyDescent="0.2">
      <c r="A185" s="752"/>
      <c r="B185" s="753" t="s">
        <v>41</v>
      </c>
      <c r="C185" s="1252">
        <f t="shared" ref="C185:D188" si="51">C5+C11+C17+C23+C29+C35+C41+C47+C53+C59+C66+C72+C79+C85+C91 +C98+C105+C111+C118+C124+C130+C143</f>
        <v>0</v>
      </c>
      <c r="D185" s="1252">
        <f t="shared" si="51"/>
        <v>53870</v>
      </c>
      <c r="E185" s="1252">
        <f t="shared" ref="E185:G186" si="52">E5+E11+E17+E23+E29+E35+E41+E47+E53+E59+E66+E72+E79+E85+E91 +E98+E105+E111+E118+E124+E130+E143+E155</f>
        <v>82484</v>
      </c>
      <c r="F185" s="1252">
        <f t="shared" si="52"/>
        <v>4115</v>
      </c>
      <c r="G185" s="1252">
        <f t="shared" si="52"/>
        <v>86599</v>
      </c>
      <c r="H185" s="1252">
        <f t="shared" ref="H185:K186" si="53">H5+H11+H17+H23+H29+H35+H41+H47+H53+H59+H66+H72+H79+H85+H91+H98+H105+H111+H118+H124+H130+H143+H149+H155+H161</f>
        <v>2527</v>
      </c>
      <c r="I185" s="1252">
        <f t="shared" si="53"/>
        <v>89126</v>
      </c>
      <c r="J185" s="1252">
        <f t="shared" si="53"/>
        <v>0</v>
      </c>
      <c r="K185" s="1252">
        <f t="shared" si="53"/>
        <v>89126</v>
      </c>
      <c r="L185" s="1252">
        <f>L5+L11+L17+L23+L29+L35+L41+L47+L53+L59+L66+L72+L79+L85+L91 +L98+L105+L111+L118+L124+L130+L143+L155</f>
        <v>85522</v>
      </c>
      <c r="M185" s="1252">
        <f>M5+M11+M17+M23+M29+M35+M41+M47+M53+M59+M66+M72+M79+M85+M91 +M98+M105+M111+M118+M124+M130+M143+M155</f>
        <v>3604</v>
      </c>
      <c r="N185" s="1253">
        <f>N5+N11+N17+N23+N29+N35+N41+N47+N53+N59+N66+N72+N79+N85+N91 +N98+N105+N111+N118+N124+N130+N143</f>
        <v>0</v>
      </c>
      <c r="O185" s="729">
        <f t="shared" si="23"/>
        <v>89126</v>
      </c>
    </row>
    <row r="186" spans="1:15" s="730" customFormat="1" ht="39.75" customHeight="1" x14ac:dyDescent="0.2">
      <c r="A186" s="731"/>
      <c r="B186" s="754" t="s">
        <v>309</v>
      </c>
      <c r="C186" s="1254">
        <f t="shared" si="51"/>
        <v>0</v>
      </c>
      <c r="D186" s="1254">
        <f t="shared" si="51"/>
        <v>7239</v>
      </c>
      <c r="E186" s="1254">
        <f t="shared" si="52"/>
        <v>12466</v>
      </c>
      <c r="F186" s="1254">
        <f t="shared" si="52"/>
        <v>135</v>
      </c>
      <c r="G186" s="1254">
        <f t="shared" si="52"/>
        <v>12601</v>
      </c>
      <c r="H186" s="1254">
        <f t="shared" si="53"/>
        <v>690</v>
      </c>
      <c r="I186" s="1254">
        <f t="shared" si="53"/>
        <v>13291</v>
      </c>
      <c r="J186" s="1254">
        <f t="shared" si="53"/>
        <v>0</v>
      </c>
      <c r="K186" s="1254">
        <f t="shared" si="53"/>
        <v>13291</v>
      </c>
      <c r="L186" s="1254">
        <f>L6+L12+L18+L24+L30+L36+L42+L48+L54+L60+L67+L73+L80+L86+L92 +L99+L106+L112+L119+L125+L131+L144+L156</f>
        <v>12154</v>
      </c>
      <c r="M186" s="1254">
        <f>M6+M12+M18+M24+M30+M36+M42+M48+M54+M60+M67+M73+M80+M86+M92 +M99+M106+M112+M119+M125+M131+M144+M156</f>
        <v>1137</v>
      </c>
      <c r="N186" s="1255">
        <f>N6+N12+N18+N24+N30+N36+N42+N48+N54+N60+N67+N73+N80+N86+N92 +N99+N106+N112+N119+N125+N131+N144</f>
        <v>0</v>
      </c>
      <c r="O186" s="729">
        <f t="shared" si="23"/>
        <v>13291</v>
      </c>
    </row>
    <row r="187" spans="1:15" s="730" customFormat="1" ht="23.1" customHeight="1" x14ac:dyDescent="0.2">
      <c r="A187" s="731"/>
      <c r="B187" s="754" t="s">
        <v>133</v>
      </c>
      <c r="C187" s="1254">
        <f t="shared" si="51"/>
        <v>304300</v>
      </c>
      <c r="D187" s="1254">
        <f t="shared" si="51"/>
        <v>14265</v>
      </c>
      <c r="E187" s="1254">
        <f>E7+E13+E19+E25+E31+E37+E43+E49+E55+E61+E68+E74+E81+E87+E93 +E100+E107+E113+E120+E126+E132+E145+E151+E157+E163</f>
        <v>374226</v>
      </c>
      <c r="F187" s="1254">
        <f>F7+F13+F19+F25+F31+F37+F43+F49+F55+F61+F68+F74+F81+F87+F93 +F100+F107+F113+F120+F126+F132+F145+F151+F157+F163</f>
        <v>32036</v>
      </c>
      <c r="G187" s="1254">
        <f>G7+G13+G19+G25+G31+G37+G43+G49+G55+G61+G68+G74+G81+G87+G93 +G100+G107+G113+G120+G126+G132+G145+G151+G157+G163</f>
        <v>406262</v>
      </c>
      <c r="H187" s="1254">
        <f>H7+H13+H19+H25+H31+H37+H43+H49+H55+H61+H68+H74+H81+H87+H93+H100+H107+H113+H120+H126+H132+H145+H151+H157+H163+H169+H175+H181+H138</f>
        <v>33143</v>
      </c>
      <c r="I187" s="1254">
        <f>I7+I13+I19+I25+I31+I37+I43+I49+I55+I61+I68+I74+I81+I87+I93+I100+I107+I113+I120+I126+I132+I145+I151+I157+I163+I169+I175+I181+I138</f>
        <v>439405</v>
      </c>
      <c r="J187" s="1254">
        <f t="shared" ref="J187:M187" si="54">J7+J13+J19+J25+J31+J37+J43+J49+J55+J61+J68+J74+J81+J87+J93+J100+J107+J113+J120+J126+J132+J145+J151+J157+J163+J169+J175+J181+J138</f>
        <v>65130</v>
      </c>
      <c r="K187" s="1254">
        <f t="shared" si="54"/>
        <v>504535</v>
      </c>
      <c r="L187" s="1254">
        <f t="shared" si="54"/>
        <v>429705</v>
      </c>
      <c r="M187" s="1254">
        <f t="shared" si="54"/>
        <v>74830</v>
      </c>
      <c r="N187" s="1255">
        <v>0</v>
      </c>
      <c r="O187" s="729">
        <f t="shared" si="23"/>
        <v>504535</v>
      </c>
    </row>
    <row r="188" spans="1:15" s="730" customFormat="1" ht="23.1" customHeight="1" x14ac:dyDescent="0.2">
      <c r="A188" s="731"/>
      <c r="B188" s="754" t="s">
        <v>43</v>
      </c>
      <c r="C188" s="1254">
        <f t="shared" si="51"/>
        <v>46000</v>
      </c>
      <c r="D188" s="1254">
        <f t="shared" si="51"/>
        <v>0</v>
      </c>
      <c r="E188" s="1254">
        <f>E8+E14+E20+E26+E32+E38+E44+E50+E56+E62+E69+E75+E82+E88+E94 +E101+E108+E114+E121+E127+E133+E146</f>
        <v>46100</v>
      </c>
      <c r="F188" s="1254">
        <f>F8+F14+F20+F26+F32+F38+F44+F50+F56+F62+F69+F75+F82+F88+F94 +F101+F108+F114+F121+F127+F133+F146</f>
        <v>8093</v>
      </c>
      <c r="G188" s="1254">
        <f>G8+G14+G20+G26+G32+G38+G44+G50+G56+G62+G69+G75+G82+G88+G94 +G101+G108+G114+G121+G127+G133+G146</f>
        <v>54193</v>
      </c>
      <c r="H188" s="1254">
        <f>H8+H14+H20+H26+H32+H38+H44+H50+H56+H62+H69+H75+H82+H88+H94+H101+H108+H114+H121+H127+H133+H146+H152+H158+H164</f>
        <v>12383</v>
      </c>
      <c r="I188" s="1254">
        <f>I8+I14+I20+I26+I32+I38+I44+I50+I56+I62+I69+I75+I82+I88+I94+I101+I108+I114+I121+I127+I133+I146+I152+I158+I164</f>
        <v>66576</v>
      </c>
      <c r="J188" s="1254">
        <f>J8+J14+J20+J26+J32+J38+J44+J50+J56+J62+J69+J75+J82+J88+J94+J101+J108+J114+J121+J127+J133+J146+J152+J158+J164</f>
        <v>0</v>
      </c>
      <c r="K188" s="1254">
        <f>K8+K14+K20+K26+K32+K38+K44+K50+K56+K62+K69+K75+K82+K88+K94+K101+K108+K114+K121+K127+K133+K146+K152+K158+K164</f>
        <v>66576</v>
      </c>
      <c r="L188" s="1254">
        <f>L8+L14+L20+L26+L32+L38+L44+L50+L56+L62+L69+L75+L82+L88+L94 +L101+L108+L114+L121+L127+L133+L146</f>
        <v>58576</v>
      </c>
      <c r="M188" s="1254">
        <f>M8+M14+M20+M26+M32+M38+M44+M50+M56+M62+M69+M75+M82+M88+M94 +M101+M108+M114+M121+M127+M133+M146</f>
        <v>8000</v>
      </c>
      <c r="N188" s="1255">
        <f>N8+N14+N20+N26+N32+N38+N44+N50+N56+N62+N69+N75+N82+N88+N94 +N101+N108+N114+N121+N127+N133+N146</f>
        <v>0</v>
      </c>
      <c r="O188" s="729">
        <f t="shared" si="23"/>
        <v>66576</v>
      </c>
    </row>
    <row r="189" spans="1:15" s="730" customFormat="1" ht="23.1" customHeight="1" x14ac:dyDescent="0.2">
      <c r="A189" s="731"/>
      <c r="B189" s="754" t="s">
        <v>488</v>
      </c>
      <c r="C189" s="1254">
        <f>'12'!C5+'13'!C17+'13'!C16</f>
        <v>147000</v>
      </c>
      <c r="D189" s="1254">
        <f>'12'!D5+'13'!D17+'13'!D16</f>
        <v>18150</v>
      </c>
      <c r="E189" s="1254">
        <f>'12'!E5+'13'!E17+'13'!E16</f>
        <v>139319</v>
      </c>
      <c r="F189" s="1254">
        <f>'12'!F5+'13'!F17+'13'!F16</f>
        <v>17911</v>
      </c>
      <c r="G189" s="1254">
        <v>150312</v>
      </c>
      <c r="H189" s="1254">
        <f>'12'!F5+'13'!H16+'13'!H17</f>
        <v>-29611</v>
      </c>
      <c r="I189" s="1254">
        <f>'12'!G5+'13'!I16+'13'!I17</f>
        <v>122201</v>
      </c>
      <c r="J189" s="1254">
        <f>'12'!H5+'13'!J16+'13'!J17</f>
        <v>246634</v>
      </c>
      <c r="K189" s="1254">
        <f>'12'!I5+'13'!K16+'13'!K17</f>
        <v>368835</v>
      </c>
      <c r="L189" s="1254">
        <f>'13'!K16+'13'!K17</f>
        <v>315852</v>
      </c>
      <c r="M189" s="1254">
        <f>'12'!K5</f>
        <v>52983</v>
      </c>
      <c r="N189" s="1255"/>
      <c r="O189" s="729">
        <f t="shared" si="23"/>
        <v>368835</v>
      </c>
    </row>
    <row r="190" spans="1:15" s="730" customFormat="1" ht="27" customHeight="1" x14ac:dyDescent="0.2">
      <c r="A190" s="731"/>
      <c r="B190" s="755" t="s">
        <v>369</v>
      </c>
      <c r="C190" s="1254">
        <f t="shared" ref="C190:M190" si="55">SUM(C185:C189)</f>
        <v>497300</v>
      </c>
      <c r="D190" s="1254">
        <f t="shared" si="55"/>
        <v>93524</v>
      </c>
      <c r="E190" s="1254">
        <f t="shared" si="55"/>
        <v>654595</v>
      </c>
      <c r="F190" s="1254">
        <f t="shared" si="55"/>
        <v>62290</v>
      </c>
      <c r="G190" s="1254">
        <f t="shared" si="55"/>
        <v>709967</v>
      </c>
      <c r="H190" s="1254">
        <f>SUM(H185:H189)</f>
        <v>19132</v>
      </c>
      <c r="I190" s="1254">
        <f>SUM(I185:I189)</f>
        <v>730599</v>
      </c>
      <c r="J190" s="1254">
        <f>SUM(J185:J189)</f>
        <v>311764</v>
      </c>
      <c r="K190" s="1254">
        <f>SUM(K185:K189)</f>
        <v>1042363</v>
      </c>
      <c r="L190" s="1254">
        <f t="shared" si="55"/>
        <v>901809</v>
      </c>
      <c r="M190" s="1254">
        <f t="shared" si="55"/>
        <v>140554</v>
      </c>
      <c r="N190" s="1255">
        <f>N9+N15+N21+N27+N33+N39+N45+N51+N57+N63+N70+N76+N83+N89+N95 +N102+N109+N115+N122+N128+N134+N147</f>
        <v>0</v>
      </c>
      <c r="O190" s="729">
        <f t="shared" si="23"/>
        <v>1042363</v>
      </c>
    </row>
    <row r="191" spans="1:15" s="730" customFormat="1" ht="23.1" customHeight="1" x14ac:dyDescent="0.2">
      <c r="A191" s="731"/>
      <c r="B191" s="754" t="s">
        <v>370</v>
      </c>
      <c r="C191" s="1256">
        <f>'10'!C42</f>
        <v>1727104</v>
      </c>
      <c r="D191" s="1256">
        <f>'10'!D42</f>
        <v>95231</v>
      </c>
      <c r="E191" s="1256">
        <f>'10'!E42</f>
        <v>1850775</v>
      </c>
      <c r="F191" s="1256">
        <f>'10'!F42</f>
        <v>11423</v>
      </c>
      <c r="G191" s="1256">
        <f>'10'!G42</f>
        <v>1862198</v>
      </c>
      <c r="H191" s="1256">
        <f>'10'!H42</f>
        <v>-496</v>
      </c>
      <c r="I191" s="1256">
        <f>'10'!I42</f>
        <v>1861702</v>
      </c>
      <c r="J191" s="1256">
        <f>'10'!J42</f>
        <v>-53577</v>
      </c>
      <c r="K191" s="1256">
        <f>'10'!K42</f>
        <v>1808125</v>
      </c>
      <c r="L191" s="1256">
        <f>'10'!L42</f>
        <v>1751006</v>
      </c>
      <c r="M191" s="1256">
        <f>'10'!M42</f>
        <v>57119</v>
      </c>
      <c r="N191" s="1257"/>
      <c r="O191" s="729">
        <f t="shared" si="23"/>
        <v>1808125</v>
      </c>
    </row>
    <row r="192" spans="1:15" s="730" customFormat="1" ht="23.1" customHeight="1" x14ac:dyDescent="0.2">
      <c r="A192" s="731"/>
      <c r="B192" s="754" t="s">
        <v>55</v>
      </c>
      <c r="C192" s="1256">
        <f>'10'!C79</f>
        <v>89480</v>
      </c>
      <c r="D192" s="1256">
        <f>'10'!D79</f>
        <v>31530</v>
      </c>
      <c r="E192" s="1256">
        <f>'10'!E79</f>
        <v>122280</v>
      </c>
      <c r="F192" s="1256">
        <f>'10'!F79</f>
        <v>0</v>
      </c>
      <c r="G192" s="1256">
        <f>'10'!G79</f>
        <v>122280</v>
      </c>
      <c r="H192" s="1256">
        <f>'10'!H79</f>
        <v>0</v>
      </c>
      <c r="I192" s="1256">
        <f>'10'!I79</f>
        <v>122280</v>
      </c>
      <c r="J192" s="1256">
        <f>'10'!J79</f>
        <v>710</v>
      </c>
      <c r="K192" s="1256">
        <f>'10'!K79</f>
        <v>122990</v>
      </c>
      <c r="L192" s="1256">
        <f>'10'!L79</f>
        <v>122990</v>
      </c>
      <c r="M192" s="1258">
        <v>0</v>
      </c>
      <c r="N192" s="1257"/>
      <c r="O192" s="729">
        <f t="shared" si="23"/>
        <v>122990</v>
      </c>
    </row>
    <row r="193" spans="1:35" s="730" customFormat="1" ht="23.1" customHeight="1" x14ac:dyDescent="0.2">
      <c r="A193" s="731"/>
      <c r="B193" s="754" t="s">
        <v>371</v>
      </c>
      <c r="C193" s="1258">
        <f>'12'!C20</f>
        <v>6300</v>
      </c>
      <c r="D193" s="1258">
        <f>'12'!D20</f>
        <v>3560</v>
      </c>
      <c r="E193" s="1258">
        <f>'12'!E20</f>
        <v>9860</v>
      </c>
      <c r="F193" s="1258">
        <f>'12'!F20</f>
        <v>0</v>
      </c>
      <c r="G193" s="1258">
        <f>'12'!G20</f>
        <v>9860</v>
      </c>
      <c r="H193" s="1258">
        <f>'12'!F20</f>
        <v>0</v>
      </c>
      <c r="I193" s="1258">
        <f>'12'!G20</f>
        <v>9860</v>
      </c>
      <c r="J193" s="1258">
        <f>'12'!H20</f>
        <v>0</v>
      </c>
      <c r="K193" s="1258">
        <f>'12'!I20</f>
        <v>9860</v>
      </c>
      <c r="L193" s="1258">
        <v>0</v>
      </c>
      <c r="M193" s="1258">
        <v>9860</v>
      </c>
      <c r="N193" s="1257"/>
      <c r="O193" s="729">
        <f t="shared" si="23"/>
        <v>9860</v>
      </c>
    </row>
    <row r="194" spans="1:35" s="747" customFormat="1" ht="27" customHeight="1" x14ac:dyDescent="0.2">
      <c r="A194" s="756"/>
      <c r="B194" s="755" t="s">
        <v>372</v>
      </c>
      <c r="C194" s="1259">
        <f t="shared" ref="C194:M194" si="56">SUM(C191:C193)</f>
        <v>1822884</v>
      </c>
      <c r="D194" s="1259">
        <f t="shared" si="56"/>
        <v>130321</v>
      </c>
      <c r="E194" s="1259">
        <f t="shared" si="56"/>
        <v>1982915</v>
      </c>
      <c r="F194" s="1259">
        <f t="shared" si="56"/>
        <v>11423</v>
      </c>
      <c r="G194" s="1259">
        <f t="shared" si="56"/>
        <v>1994338</v>
      </c>
      <c r="H194" s="1259">
        <f>SUM(H191:H193)</f>
        <v>-496</v>
      </c>
      <c r="I194" s="1259">
        <f>SUM(I191:I193)</f>
        <v>1993842</v>
      </c>
      <c r="J194" s="1259">
        <f>SUM(J191:J193)</f>
        <v>-52867</v>
      </c>
      <c r="K194" s="1259">
        <f>SUM(K191:K193)</f>
        <v>1940975</v>
      </c>
      <c r="L194" s="1259">
        <f t="shared" si="56"/>
        <v>1873996</v>
      </c>
      <c r="M194" s="1259">
        <f t="shared" si="56"/>
        <v>66979</v>
      </c>
      <c r="N194" s="1260"/>
      <c r="O194" s="729">
        <f>L194+M194+N194</f>
        <v>1940975</v>
      </c>
    </row>
    <row r="195" spans="1:35" s="730" customFormat="1" ht="34.5" customHeight="1" x14ac:dyDescent="0.2">
      <c r="A195" s="731"/>
      <c r="B195" s="757" t="s">
        <v>483</v>
      </c>
      <c r="C195" s="1261"/>
      <c r="D195" s="1261">
        <v>461054</v>
      </c>
      <c r="E195" s="1261">
        <v>461054</v>
      </c>
      <c r="F195" s="1261"/>
      <c r="G195" s="1261">
        <f>E195+F195</f>
        <v>461054</v>
      </c>
      <c r="H195" s="1261"/>
      <c r="I195" s="1261">
        <f>G195+H195</f>
        <v>461054</v>
      </c>
      <c r="J195" s="1261"/>
      <c r="K195" s="1261">
        <f>I195+J195</f>
        <v>461054</v>
      </c>
      <c r="L195" s="1261">
        <v>461054</v>
      </c>
      <c r="M195" s="1261">
        <v>0</v>
      </c>
      <c r="N195" s="1257"/>
      <c r="O195" s="729">
        <f t="shared" si="23"/>
        <v>461054</v>
      </c>
      <c r="P195" s="758"/>
      <c r="Q195" s="758"/>
      <c r="R195" s="758"/>
      <c r="S195" s="758"/>
      <c r="T195" s="758"/>
      <c r="U195" s="758"/>
      <c r="V195" s="758"/>
      <c r="W195" s="758"/>
      <c r="X195" s="758"/>
      <c r="Y195" s="758"/>
      <c r="Z195" s="758"/>
      <c r="AA195" s="758"/>
      <c r="AB195" s="758"/>
      <c r="AC195" s="758"/>
      <c r="AD195" s="758"/>
      <c r="AE195" s="758"/>
      <c r="AF195" s="758"/>
      <c r="AG195" s="758"/>
      <c r="AH195" s="758"/>
      <c r="AI195" s="759"/>
    </row>
    <row r="196" spans="1:35" s="730" customFormat="1" ht="23.1" customHeight="1" x14ac:dyDescent="0.2">
      <c r="A196" s="731"/>
      <c r="B196" s="760" t="s">
        <v>484</v>
      </c>
      <c r="C196" s="1261"/>
      <c r="D196" s="1261"/>
      <c r="E196" s="1261">
        <v>794741</v>
      </c>
      <c r="F196" s="1261">
        <v>880000</v>
      </c>
      <c r="G196" s="1261">
        <f>E196+F196</f>
        <v>1674741</v>
      </c>
      <c r="H196" s="1261"/>
      <c r="I196" s="1261">
        <f>G196+H196</f>
        <v>1674741</v>
      </c>
      <c r="J196" s="1261"/>
      <c r="K196" s="1261">
        <f>I196+J196</f>
        <v>1674741</v>
      </c>
      <c r="L196" s="1261">
        <v>0</v>
      </c>
      <c r="M196" s="1261">
        <v>1674741</v>
      </c>
      <c r="N196" s="1257"/>
      <c r="O196" s="729">
        <f t="shared" si="23"/>
        <v>1674741</v>
      </c>
      <c r="P196" s="761"/>
      <c r="Q196" s="761"/>
      <c r="R196" s="761"/>
      <c r="S196" s="761"/>
      <c r="T196" s="761"/>
      <c r="U196" s="761"/>
      <c r="V196" s="761"/>
      <c r="W196" s="761"/>
      <c r="X196" s="761"/>
      <c r="Y196" s="761"/>
      <c r="Z196" s="761"/>
      <c r="AA196" s="761"/>
      <c r="AB196" s="761"/>
      <c r="AC196" s="761"/>
      <c r="AD196" s="761"/>
      <c r="AE196" s="761"/>
      <c r="AF196" s="761"/>
      <c r="AG196" s="761"/>
      <c r="AH196" s="761"/>
      <c r="AI196" s="762"/>
    </row>
    <row r="197" spans="1:35" s="747" customFormat="1" ht="27" customHeight="1" thickBot="1" x14ac:dyDescent="0.25">
      <c r="A197" s="763"/>
      <c r="B197" s="764" t="s">
        <v>139</v>
      </c>
      <c r="C197" s="1262">
        <f t="shared" ref="C197:N197" si="57">SUM(C195:C196)</f>
        <v>0</v>
      </c>
      <c r="D197" s="1262">
        <f t="shared" si="57"/>
        <v>461054</v>
      </c>
      <c r="E197" s="1262">
        <f t="shared" si="57"/>
        <v>1255795</v>
      </c>
      <c r="F197" s="1262">
        <f t="shared" si="57"/>
        <v>880000</v>
      </c>
      <c r="G197" s="1262">
        <f t="shared" si="57"/>
        <v>2135795</v>
      </c>
      <c r="H197" s="1262">
        <f>SUM(H195:H196)</f>
        <v>0</v>
      </c>
      <c r="I197" s="1262">
        <f>SUM(I195:I196)</f>
        <v>2135795</v>
      </c>
      <c r="J197" s="1262">
        <f>SUM(J195:J196)</f>
        <v>0</v>
      </c>
      <c r="K197" s="1262">
        <f>SUM(K195:K196)</f>
        <v>2135795</v>
      </c>
      <c r="L197" s="1262">
        <f t="shared" si="57"/>
        <v>461054</v>
      </c>
      <c r="M197" s="1262">
        <f t="shared" si="57"/>
        <v>1674741</v>
      </c>
      <c r="N197" s="1263">
        <f t="shared" si="57"/>
        <v>0</v>
      </c>
      <c r="O197" s="729">
        <f t="shared" si="23"/>
        <v>2135795</v>
      </c>
    </row>
    <row r="198" spans="1:35" s="730" customFormat="1" ht="33.75" customHeight="1" thickBot="1" x14ac:dyDescent="0.25">
      <c r="A198" s="765"/>
      <c r="B198" s="766" t="s">
        <v>134</v>
      </c>
      <c r="C198" s="1264">
        <f t="shared" ref="C198:M198" si="58">C190+C194+C197</f>
        <v>2320184</v>
      </c>
      <c r="D198" s="1264">
        <f t="shared" si="58"/>
        <v>684899</v>
      </c>
      <c r="E198" s="1264">
        <f t="shared" si="58"/>
        <v>3893305</v>
      </c>
      <c r="F198" s="1264">
        <f t="shared" si="58"/>
        <v>953713</v>
      </c>
      <c r="G198" s="1264">
        <f t="shared" ref="G198:L198" si="59">G190+G194+G197</f>
        <v>4840100</v>
      </c>
      <c r="H198" s="1264">
        <f t="shared" si="59"/>
        <v>18636</v>
      </c>
      <c r="I198" s="1264">
        <f t="shared" si="59"/>
        <v>4860236</v>
      </c>
      <c r="J198" s="1264">
        <f t="shared" si="59"/>
        <v>258897</v>
      </c>
      <c r="K198" s="1264">
        <f t="shared" si="59"/>
        <v>5119133</v>
      </c>
      <c r="L198" s="1264">
        <f t="shared" si="59"/>
        <v>3236859</v>
      </c>
      <c r="M198" s="1264">
        <f t="shared" si="58"/>
        <v>1882274</v>
      </c>
      <c r="N198" s="1265"/>
      <c r="O198" s="729">
        <f>L198+M198+N198</f>
        <v>5119133</v>
      </c>
    </row>
    <row r="199" spans="1:35" s="771" customFormat="1" ht="17.25" customHeight="1" x14ac:dyDescent="0.2">
      <c r="A199" s="767"/>
      <c r="B199" s="768"/>
      <c r="C199" s="769"/>
      <c r="D199" s="769"/>
      <c r="E199" s="769"/>
      <c r="F199" s="769"/>
      <c r="G199" s="769"/>
      <c r="H199" s="769"/>
      <c r="I199" s="769"/>
      <c r="J199" s="769"/>
      <c r="K199" s="769"/>
      <c r="L199" s="770" t="s">
        <v>99</v>
      </c>
      <c r="O199" s="772"/>
    </row>
    <row r="200" spans="1:35" ht="18.75" customHeight="1" x14ac:dyDescent="0.2">
      <c r="C200" s="775">
        <f>'5'!C159</f>
        <v>4251444</v>
      </c>
      <c r="D200" s="775">
        <f>'5'!D159</f>
        <v>636640</v>
      </c>
      <c r="E200" s="775">
        <f>'5'!E159</f>
        <v>5864828</v>
      </c>
      <c r="F200" s="775">
        <f>'5'!F159</f>
        <v>978050</v>
      </c>
      <c r="G200" s="775">
        <f>'5'!G159</f>
        <v>6842878</v>
      </c>
      <c r="L200" s="775" t="s">
        <v>99</v>
      </c>
      <c r="M200" s="775" t="s">
        <v>99</v>
      </c>
    </row>
    <row r="201" spans="1:35" x14ac:dyDescent="0.2">
      <c r="C201" s="775">
        <f>C200-C198</f>
        <v>1931260</v>
      </c>
      <c r="D201" s="775">
        <f>D200-D198</f>
        <v>-48259</v>
      </c>
      <c r="E201" s="775">
        <f>E200-E198</f>
        <v>1971523</v>
      </c>
      <c r="F201" s="775">
        <f t="shared" ref="F201:G201" si="60">F200-F198</f>
        <v>24337</v>
      </c>
      <c r="G201" s="775">
        <f t="shared" si="60"/>
        <v>2002778</v>
      </c>
    </row>
    <row r="203" spans="1:35" x14ac:dyDescent="0.2">
      <c r="G203" s="775" t="s">
        <v>99</v>
      </c>
    </row>
  </sheetData>
  <protectedRanges>
    <protectedRange sqref="M145:M146 C142:K146 C147:N147" name="Tartomány11_1"/>
    <protectedRange sqref="C148:E152 C154:E158 C160:E164 C166:E170 C172:E176 C178:E182 C135:E139 G138:K139 C140:L140 G151:J152 C153:L153 G157:J158 C159:L159 G163:J164 C165:L165 G169:J170 C171:L171 G175:J176 C177:L177 G181:J182 C183:L183" name="Tartomány11_1_1"/>
  </protectedRanges>
  <mergeCells count="39">
    <mergeCell ref="A1:N1"/>
    <mergeCell ref="C129:N129"/>
    <mergeCell ref="C90:N90"/>
    <mergeCell ref="C96:N96"/>
    <mergeCell ref="C77:N77"/>
    <mergeCell ref="C78:N78"/>
    <mergeCell ref="C65:N65"/>
    <mergeCell ref="C71:N71"/>
    <mergeCell ref="C97:N97"/>
    <mergeCell ref="C84:N84"/>
    <mergeCell ref="B3:N3"/>
    <mergeCell ref="B103:N103"/>
    <mergeCell ref="C110:N110"/>
    <mergeCell ref="C4:N4"/>
    <mergeCell ref="C40:N40"/>
    <mergeCell ref="C46:N46"/>
    <mergeCell ref="A184:B184"/>
    <mergeCell ref="C184:N184"/>
    <mergeCell ref="B148:N148"/>
    <mergeCell ref="B154:N154"/>
    <mergeCell ref="B160:N160"/>
    <mergeCell ref="B166:N166"/>
    <mergeCell ref="B172:N172"/>
    <mergeCell ref="B178:N178"/>
    <mergeCell ref="C52:N52"/>
    <mergeCell ref="C58:N58"/>
    <mergeCell ref="C104:N104"/>
    <mergeCell ref="B141:N141"/>
    <mergeCell ref="C142:N142"/>
    <mergeCell ref="C116:N116"/>
    <mergeCell ref="C117:N117"/>
    <mergeCell ref="C123:N123"/>
    <mergeCell ref="B135:N135"/>
    <mergeCell ref="B64:N64"/>
    <mergeCell ref="C10:N10"/>
    <mergeCell ref="C16:N16"/>
    <mergeCell ref="C22:N22"/>
    <mergeCell ref="C28:N28"/>
    <mergeCell ref="C34:N34"/>
  </mergeCells>
  <phoneticPr fontId="0" type="noConversion"/>
  <printOptions horizontalCentered="1"/>
  <pageMargins left="0.47244094488188981" right="0.47244094488188981" top="0.70866141732283472" bottom="0.70866141732283472" header="0.39370078740157483" footer="0.31496062992125984"/>
  <pageSetup paperSize="9" scale="54" fitToHeight="3" orientation="portrait" r:id="rId1"/>
  <headerFooter alignWithMargins="0">
    <oddHeader>&amp;L&amp;"Arial,Dőlt"&amp;11&amp;U 8. melléklet a 3/2014. (II.15.) önkormányzati rendelethez</oddHeader>
    <oddFooter>&amp;C&amp;11 Nagykőrös Város Önkormányzat 2014. évi költségvetési rendeletének V. sz. módosítása</oddFooter>
  </headerFooter>
  <rowBreaks count="3" manualBreakCount="3">
    <brk id="51" max="7" man="1"/>
    <brk id="102" max="9" man="1"/>
    <brk id="153" max="11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J106"/>
  <sheetViews>
    <sheetView view="pageLayout" zoomScaleNormal="100" zoomScaleSheetLayoutView="100" workbookViewId="0">
      <selection activeCell="J96" sqref="J96"/>
    </sheetView>
  </sheetViews>
  <sheetFormatPr defaultColWidth="12.7109375" defaultRowHeight="15" x14ac:dyDescent="0.2"/>
  <cols>
    <col min="1" max="1" width="6.85546875" style="105" customWidth="1"/>
    <col min="2" max="2" width="61.42578125" style="136" customWidth="1"/>
    <col min="3" max="3" width="12.7109375" style="134" customWidth="1"/>
    <col min="4" max="8" width="12.7109375" style="134" hidden="1" customWidth="1"/>
    <col min="9" max="9" width="14.42578125" style="134" bestFit="1" customWidth="1"/>
    <col min="10" max="10" width="12.7109375" style="134" customWidth="1"/>
    <col min="11" max="11" width="14.42578125" style="134" bestFit="1" customWidth="1"/>
    <col min="12" max="12" width="12.7109375" style="135" customWidth="1"/>
    <col min="13" max="13" width="12.140625" style="135" customWidth="1"/>
    <col min="14" max="14" width="11.42578125" style="135" customWidth="1"/>
    <col min="15" max="15" width="12" style="98" customWidth="1"/>
    <col min="16" max="16384" width="12.7109375" style="98"/>
  </cols>
  <sheetData>
    <row r="1" spans="1:15" s="124" customFormat="1" ht="29.25" customHeight="1" thickBot="1" x14ac:dyDescent="0.25">
      <c r="A1" s="1709" t="s">
        <v>452</v>
      </c>
      <c r="B1" s="1709"/>
      <c r="C1" s="1710"/>
      <c r="D1" s="1710"/>
      <c r="E1" s="1710"/>
      <c r="F1" s="1710"/>
      <c r="G1" s="1710"/>
      <c r="H1" s="1710"/>
      <c r="I1" s="1710"/>
      <c r="J1" s="1710"/>
      <c r="K1" s="1710"/>
      <c r="L1" s="1710"/>
      <c r="M1" s="1710"/>
      <c r="N1" s="1710"/>
    </row>
    <row r="2" spans="1:15" s="128" customFormat="1" ht="48.75" customHeight="1" thickBot="1" x14ac:dyDescent="0.25">
      <c r="A2" s="122" t="s">
        <v>225</v>
      </c>
      <c r="B2" s="123" t="s">
        <v>77</v>
      </c>
      <c r="C2" s="125" t="s">
        <v>289</v>
      </c>
      <c r="D2" s="715" t="s">
        <v>152</v>
      </c>
      <c r="E2" s="125" t="s">
        <v>886</v>
      </c>
      <c r="F2" s="125" t="s">
        <v>887</v>
      </c>
      <c r="G2" s="125" t="s">
        <v>932</v>
      </c>
      <c r="H2" s="125" t="s">
        <v>887</v>
      </c>
      <c r="I2" s="125" t="s">
        <v>932</v>
      </c>
      <c r="J2" s="125" t="s">
        <v>879</v>
      </c>
      <c r="K2" s="125" t="s">
        <v>880</v>
      </c>
      <c r="L2" s="126" t="s">
        <v>325</v>
      </c>
      <c r="M2" s="126" t="s">
        <v>326</v>
      </c>
      <c r="N2" s="127" t="s">
        <v>308</v>
      </c>
    </row>
    <row r="3" spans="1:15" s="129" customFormat="1" ht="33" customHeight="1" thickBot="1" x14ac:dyDescent="0.25">
      <c r="A3" s="1408" t="s">
        <v>277</v>
      </c>
      <c r="B3" s="1407" t="s">
        <v>78</v>
      </c>
      <c r="C3" s="1711"/>
      <c r="D3" s="1712"/>
      <c r="E3" s="1712"/>
      <c r="F3" s="1712"/>
      <c r="G3" s="1712"/>
      <c r="H3" s="1712"/>
      <c r="I3" s="1712"/>
      <c r="J3" s="1712"/>
      <c r="K3" s="1712"/>
      <c r="L3" s="1713"/>
      <c r="M3" s="1713"/>
      <c r="N3" s="1714"/>
    </row>
    <row r="4" spans="1:15" s="531" customFormat="1" ht="23.1" customHeight="1" x14ac:dyDescent="0.2">
      <c r="A4" s="785" t="s">
        <v>61</v>
      </c>
      <c r="B4" s="786" t="s">
        <v>83</v>
      </c>
      <c r="C4" s="1687"/>
      <c r="D4" s="1688"/>
      <c r="E4" s="1688"/>
      <c r="F4" s="1688"/>
      <c r="G4" s="1688"/>
      <c r="H4" s="1688"/>
      <c r="I4" s="1688"/>
      <c r="J4" s="1688"/>
      <c r="K4" s="1688"/>
      <c r="L4" s="1689"/>
      <c r="M4" s="1689"/>
      <c r="N4" s="1690"/>
    </row>
    <row r="5" spans="1:15" s="531" customFormat="1" ht="21" customHeight="1" x14ac:dyDescent="0.2">
      <c r="A5" s="987"/>
      <c r="B5" s="976" t="s">
        <v>41</v>
      </c>
      <c r="C5" s="988">
        <v>5800</v>
      </c>
      <c r="D5" s="988">
        <v>30</v>
      </c>
      <c r="E5" s="988">
        <f>C5+D5</f>
        <v>5830</v>
      </c>
      <c r="F5" s="988"/>
      <c r="G5" s="988">
        <f>E5+F5</f>
        <v>5830</v>
      </c>
      <c r="H5" s="988"/>
      <c r="I5" s="988">
        <f>G5+H5</f>
        <v>5830</v>
      </c>
      <c r="J5" s="988">
        <v>668</v>
      </c>
      <c r="K5" s="988">
        <f>I5+J5</f>
        <v>6498</v>
      </c>
      <c r="L5" s="988">
        <v>0</v>
      </c>
      <c r="M5" s="988">
        <v>6498</v>
      </c>
      <c r="N5" s="989">
        <v>0</v>
      </c>
      <c r="O5" s="787">
        <f>L5+M5+N5</f>
        <v>6498</v>
      </c>
    </row>
    <row r="6" spans="1:15" s="531" customFormat="1" ht="21" customHeight="1" x14ac:dyDescent="0.2">
      <c r="A6" s="987"/>
      <c r="B6" s="976" t="s">
        <v>309</v>
      </c>
      <c r="C6" s="988">
        <v>1700</v>
      </c>
      <c r="D6" s="988">
        <v>8</v>
      </c>
      <c r="E6" s="988">
        <f>C6+D6</f>
        <v>1708</v>
      </c>
      <c r="F6" s="988"/>
      <c r="G6" s="988">
        <f>E6+F6</f>
        <v>1708</v>
      </c>
      <c r="H6" s="988"/>
      <c r="I6" s="988">
        <f>G6+H6</f>
        <v>1708</v>
      </c>
      <c r="J6" s="988"/>
      <c r="K6" s="988">
        <f>I6+J6</f>
        <v>1708</v>
      </c>
      <c r="L6" s="988">
        <v>0</v>
      </c>
      <c r="M6" s="988">
        <f>E6</f>
        <v>1708</v>
      </c>
      <c r="N6" s="989">
        <v>0</v>
      </c>
      <c r="O6" s="787">
        <f t="shared" ref="O6:O65" si="0">L6+M6+N6</f>
        <v>1708</v>
      </c>
    </row>
    <row r="7" spans="1:15" s="531" customFormat="1" ht="21" customHeight="1" x14ac:dyDescent="0.2">
      <c r="A7" s="987"/>
      <c r="B7" s="976" t="s">
        <v>133</v>
      </c>
      <c r="C7" s="988">
        <v>500</v>
      </c>
      <c r="D7" s="988">
        <v>846</v>
      </c>
      <c r="E7" s="988">
        <f>C7+D7</f>
        <v>1346</v>
      </c>
      <c r="F7" s="988"/>
      <c r="G7" s="988">
        <f>E7+F7</f>
        <v>1346</v>
      </c>
      <c r="H7" s="988"/>
      <c r="I7" s="988">
        <f>G7+H7</f>
        <v>1346</v>
      </c>
      <c r="J7" s="988"/>
      <c r="K7" s="988">
        <f>I7+J7</f>
        <v>1346</v>
      </c>
      <c r="L7" s="988">
        <v>0</v>
      </c>
      <c r="M7" s="988">
        <f>500+846</f>
        <v>1346</v>
      </c>
      <c r="N7" s="989">
        <v>0</v>
      </c>
      <c r="O7" s="787">
        <f t="shared" si="0"/>
        <v>1346</v>
      </c>
    </row>
    <row r="8" spans="1:15" s="531" customFormat="1" ht="21" customHeight="1" x14ac:dyDescent="0.2">
      <c r="A8" s="987"/>
      <c r="B8" s="976" t="s">
        <v>43</v>
      </c>
      <c r="C8" s="988">
        <v>0</v>
      </c>
      <c r="D8" s="988"/>
      <c r="E8" s="988">
        <f>C8+D8</f>
        <v>0</v>
      </c>
      <c r="F8" s="988"/>
      <c r="G8" s="988">
        <f>E8+F8</f>
        <v>0</v>
      </c>
      <c r="H8" s="988"/>
      <c r="I8" s="988">
        <f>G8+H8</f>
        <v>0</v>
      </c>
      <c r="J8" s="988"/>
      <c r="K8" s="988">
        <f>I8+J8</f>
        <v>0</v>
      </c>
      <c r="L8" s="988">
        <v>0</v>
      </c>
      <c r="M8" s="988">
        <v>0</v>
      </c>
      <c r="N8" s="989">
        <v>0</v>
      </c>
      <c r="O8" s="787">
        <f t="shared" si="0"/>
        <v>0</v>
      </c>
    </row>
    <row r="9" spans="1:15" s="531" customFormat="1" ht="21" customHeight="1" x14ac:dyDescent="0.2">
      <c r="A9" s="987"/>
      <c r="B9" s="976" t="s">
        <v>368</v>
      </c>
      <c r="C9" s="988">
        <v>200</v>
      </c>
      <c r="D9" s="988">
        <f>-200</f>
        <v>-200</v>
      </c>
      <c r="E9" s="988">
        <f>C9+D9</f>
        <v>0</v>
      </c>
      <c r="F9" s="988"/>
      <c r="G9" s="988">
        <f>E9+F9</f>
        <v>0</v>
      </c>
      <c r="H9" s="988"/>
      <c r="I9" s="988">
        <f>G9+H9</f>
        <v>0</v>
      </c>
      <c r="J9" s="988"/>
      <c r="K9" s="988">
        <f>I9+J9</f>
        <v>0</v>
      </c>
      <c r="L9" s="988">
        <v>0</v>
      </c>
      <c r="M9" s="988">
        <v>0</v>
      </c>
      <c r="N9" s="989">
        <v>0</v>
      </c>
      <c r="O9" s="787">
        <f t="shared" si="0"/>
        <v>0</v>
      </c>
    </row>
    <row r="10" spans="1:15" s="533" customFormat="1" ht="21" customHeight="1" x14ac:dyDescent="0.2">
      <c r="A10" s="990"/>
      <c r="B10" s="977" t="s">
        <v>369</v>
      </c>
      <c r="C10" s="991">
        <f t="shared" ref="C10:N10" si="1">SUM(C5:C9)</f>
        <v>8200</v>
      </c>
      <c r="D10" s="991">
        <f t="shared" si="1"/>
        <v>684</v>
      </c>
      <c r="E10" s="991">
        <f t="shared" si="1"/>
        <v>8884</v>
      </c>
      <c r="F10" s="991">
        <f t="shared" si="1"/>
        <v>0</v>
      </c>
      <c r="G10" s="991">
        <f t="shared" si="1"/>
        <v>8884</v>
      </c>
      <c r="H10" s="991">
        <f>SUM(H5:H9)</f>
        <v>0</v>
      </c>
      <c r="I10" s="991">
        <f>SUM(I5:I9)</f>
        <v>8884</v>
      </c>
      <c r="J10" s="991">
        <f>SUM(J5:J9)</f>
        <v>668</v>
      </c>
      <c r="K10" s="991">
        <f>SUM(K5:K9)</f>
        <v>9552</v>
      </c>
      <c r="L10" s="991">
        <f t="shared" si="1"/>
        <v>0</v>
      </c>
      <c r="M10" s="991">
        <f t="shared" si="1"/>
        <v>9552</v>
      </c>
      <c r="N10" s="992">
        <f t="shared" si="1"/>
        <v>0</v>
      </c>
      <c r="O10" s="788">
        <f t="shared" si="0"/>
        <v>9552</v>
      </c>
    </row>
    <row r="11" spans="1:15" s="531" customFormat="1" ht="23.1" customHeight="1" x14ac:dyDescent="0.2">
      <c r="A11" s="993" t="s">
        <v>62</v>
      </c>
      <c r="B11" s="978" t="s">
        <v>85</v>
      </c>
      <c r="C11" s="1705"/>
      <c r="D11" s="1706"/>
      <c r="E11" s="1706"/>
      <c r="F11" s="1706"/>
      <c r="G11" s="1706"/>
      <c r="H11" s="1706"/>
      <c r="I11" s="1706"/>
      <c r="J11" s="1706"/>
      <c r="K11" s="1706"/>
      <c r="L11" s="1707"/>
      <c r="M11" s="1707"/>
      <c r="N11" s="1708"/>
      <c r="O11" s="787"/>
    </row>
    <row r="12" spans="1:15" s="531" customFormat="1" ht="21" customHeight="1" x14ac:dyDescent="0.2">
      <c r="A12" s="987"/>
      <c r="B12" s="976" t="s">
        <v>41</v>
      </c>
      <c r="C12" s="988">
        <v>0</v>
      </c>
      <c r="D12" s="988"/>
      <c r="E12" s="988">
        <f>C12+D12</f>
        <v>0</v>
      </c>
      <c r="F12" s="988"/>
      <c r="G12" s="988">
        <f>E12+F12</f>
        <v>0</v>
      </c>
      <c r="H12" s="988"/>
      <c r="I12" s="988">
        <f>G12+H12</f>
        <v>0</v>
      </c>
      <c r="J12" s="988"/>
      <c r="K12" s="988">
        <f>I12+J12</f>
        <v>0</v>
      </c>
      <c r="L12" s="988">
        <v>0</v>
      </c>
      <c r="M12" s="988">
        <v>0</v>
      </c>
      <c r="N12" s="989">
        <v>0</v>
      </c>
      <c r="O12" s="787">
        <f t="shared" si="0"/>
        <v>0</v>
      </c>
    </row>
    <row r="13" spans="1:15" s="531" customFormat="1" ht="21" customHeight="1" x14ac:dyDescent="0.2">
      <c r="A13" s="987"/>
      <c r="B13" s="976" t="s">
        <v>309</v>
      </c>
      <c r="C13" s="988">
        <v>0</v>
      </c>
      <c r="D13" s="988"/>
      <c r="E13" s="988">
        <f>C13+D13</f>
        <v>0</v>
      </c>
      <c r="F13" s="988"/>
      <c r="G13" s="988">
        <f>E13+F13</f>
        <v>0</v>
      </c>
      <c r="H13" s="988"/>
      <c r="I13" s="988">
        <f>G13+H13</f>
        <v>0</v>
      </c>
      <c r="J13" s="988"/>
      <c r="K13" s="988">
        <f>I13+J13</f>
        <v>0</v>
      </c>
      <c r="L13" s="988">
        <v>0</v>
      </c>
      <c r="M13" s="988">
        <v>0</v>
      </c>
      <c r="N13" s="989">
        <v>0</v>
      </c>
      <c r="O13" s="787">
        <f t="shared" si="0"/>
        <v>0</v>
      </c>
    </row>
    <row r="14" spans="1:15" s="531" customFormat="1" ht="21" customHeight="1" x14ac:dyDescent="0.2">
      <c r="A14" s="987"/>
      <c r="B14" s="976" t="s">
        <v>133</v>
      </c>
      <c r="C14" s="988">
        <v>1000</v>
      </c>
      <c r="D14" s="988">
        <v>3030</v>
      </c>
      <c r="E14" s="988">
        <f>C14+D14</f>
        <v>4030</v>
      </c>
      <c r="F14" s="988"/>
      <c r="G14" s="988">
        <f>E14+F14</f>
        <v>4030</v>
      </c>
      <c r="H14" s="988"/>
      <c r="I14" s="988">
        <f>G14+H14</f>
        <v>4030</v>
      </c>
      <c r="J14" s="988">
        <v>-1000</v>
      </c>
      <c r="K14" s="988">
        <f>I14+J14</f>
        <v>3030</v>
      </c>
      <c r="L14" s="988">
        <v>3030</v>
      </c>
      <c r="M14" s="988">
        <v>0</v>
      </c>
      <c r="N14" s="989">
        <v>0</v>
      </c>
      <c r="O14" s="787">
        <f t="shared" si="0"/>
        <v>3030</v>
      </c>
    </row>
    <row r="15" spans="1:15" s="531" customFormat="1" ht="21" customHeight="1" x14ac:dyDescent="0.2">
      <c r="A15" s="987"/>
      <c r="B15" s="976" t="s">
        <v>43</v>
      </c>
      <c r="C15" s="988">
        <v>0</v>
      </c>
      <c r="D15" s="988"/>
      <c r="E15" s="988">
        <f>C15+D15</f>
        <v>0</v>
      </c>
      <c r="F15" s="988"/>
      <c r="G15" s="988">
        <f>E15+F15</f>
        <v>0</v>
      </c>
      <c r="H15" s="988"/>
      <c r="I15" s="988">
        <f>G15+H15</f>
        <v>0</v>
      </c>
      <c r="J15" s="988"/>
      <c r="K15" s="988">
        <f>I15+J15</f>
        <v>0</v>
      </c>
      <c r="L15" s="988">
        <v>0</v>
      </c>
      <c r="M15" s="988">
        <v>0</v>
      </c>
      <c r="N15" s="989">
        <v>0</v>
      </c>
      <c r="O15" s="787">
        <f t="shared" si="0"/>
        <v>0</v>
      </c>
    </row>
    <row r="16" spans="1:15" s="531" customFormat="1" ht="21" customHeight="1" x14ac:dyDescent="0.2">
      <c r="A16" s="987"/>
      <c r="B16" s="976" t="s">
        <v>368</v>
      </c>
      <c r="C16" s="988">
        <v>0</v>
      </c>
      <c r="D16" s="988"/>
      <c r="E16" s="988">
        <f>C16+D16</f>
        <v>0</v>
      </c>
      <c r="F16" s="988"/>
      <c r="G16" s="988">
        <f>E16+F16</f>
        <v>0</v>
      </c>
      <c r="H16" s="988"/>
      <c r="I16" s="988">
        <f>G16+H16</f>
        <v>0</v>
      </c>
      <c r="J16" s="988"/>
      <c r="K16" s="988">
        <f>I16+J16</f>
        <v>0</v>
      </c>
      <c r="L16" s="988">
        <v>0</v>
      </c>
      <c r="M16" s="988">
        <v>0</v>
      </c>
      <c r="N16" s="989">
        <v>0</v>
      </c>
      <c r="O16" s="787">
        <f t="shared" si="0"/>
        <v>0</v>
      </c>
    </row>
    <row r="17" spans="1:15" s="533" customFormat="1" ht="21" customHeight="1" thickBot="1" x14ac:dyDescent="0.25">
      <c r="A17" s="994"/>
      <c r="B17" s="979" t="s">
        <v>369</v>
      </c>
      <c r="C17" s="995">
        <f t="shared" ref="C17:N17" si="2">SUM(C12:C16)</f>
        <v>1000</v>
      </c>
      <c r="D17" s="995">
        <f t="shared" si="2"/>
        <v>3030</v>
      </c>
      <c r="E17" s="995">
        <f t="shared" si="2"/>
        <v>4030</v>
      </c>
      <c r="F17" s="995">
        <f t="shared" si="2"/>
        <v>0</v>
      </c>
      <c r="G17" s="995">
        <f t="shared" si="2"/>
        <v>4030</v>
      </c>
      <c r="H17" s="995">
        <f>SUM(H12:H16)</f>
        <v>0</v>
      </c>
      <c r="I17" s="995">
        <f>SUM(I12:I16)</f>
        <v>4030</v>
      </c>
      <c r="J17" s="995">
        <f>SUM(J12:J16)</f>
        <v>-1000</v>
      </c>
      <c r="K17" s="995">
        <f>SUM(K12:K16)</f>
        <v>3030</v>
      </c>
      <c r="L17" s="995">
        <f t="shared" si="2"/>
        <v>3030</v>
      </c>
      <c r="M17" s="995">
        <f t="shared" si="2"/>
        <v>0</v>
      </c>
      <c r="N17" s="996">
        <f t="shared" si="2"/>
        <v>0</v>
      </c>
      <c r="O17" s="788">
        <f t="shared" si="0"/>
        <v>3030</v>
      </c>
    </row>
    <row r="18" spans="1:15" s="534" customFormat="1" ht="33" customHeight="1" thickBot="1" x14ac:dyDescent="0.25">
      <c r="A18" s="997" t="s">
        <v>278</v>
      </c>
      <c r="B18" s="980" t="s">
        <v>89</v>
      </c>
      <c r="C18" s="1699"/>
      <c r="D18" s="1700"/>
      <c r="E18" s="1700"/>
      <c r="F18" s="1700"/>
      <c r="G18" s="1700"/>
      <c r="H18" s="1700"/>
      <c r="I18" s="1700"/>
      <c r="J18" s="1700"/>
      <c r="K18" s="1700"/>
      <c r="L18" s="1693"/>
      <c r="M18" s="1693"/>
      <c r="N18" s="1694"/>
      <c r="O18" s="787"/>
    </row>
    <row r="19" spans="1:15" s="531" customFormat="1" ht="23.1" customHeight="1" x14ac:dyDescent="0.2">
      <c r="A19" s="998" t="s">
        <v>61</v>
      </c>
      <c r="B19" s="981" t="s">
        <v>91</v>
      </c>
      <c r="C19" s="1701"/>
      <c r="D19" s="1702"/>
      <c r="E19" s="1702"/>
      <c r="F19" s="1702"/>
      <c r="G19" s="1702"/>
      <c r="H19" s="1702"/>
      <c r="I19" s="1702"/>
      <c r="J19" s="1702"/>
      <c r="K19" s="1702"/>
      <c r="L19" s="1703"/>
      <c r="M19" s="1703"/>
      <c r="N19" s="1704"/>
      <c r="O19" s="787"/>
    </row>
    <row r="20" spans="1:15" s="531" customFormat="1" ht="21" customHeight="1" x14ac:dyDescent="0.2">
      <c r="A20" s="987"/>
      <c r="B20" s="976" t="s">
        <v>41</v>
      </c>
      <c r="C20" s="988">
        <v>1600</v>
      </c>
      <c r="D20" s="988"/>
      <c r="E20" s="988">
        <f>C20+D20</f>
        <v>1600</v>
      </c>
      <c r="F20" s="988"/>
      <c r="G20" s="988">
        <f>E20+F20</f>
        <v>1600</v>
      </c>
      <c r="H20" s="988"/>
      <c r="I20" s="988">
        <f>G20+H20</f>
        <v>1600</v>
      </c>
      <c r="J20" s="988"/>
      <c r="K20" s="988">
        <f>I20+J20</f>
        <v>1600</v>
      </c>
      <c r="L20" s="988">
        <v>1600</v>
      </c>
      <c r="M20" s="988">
        <v>0</v>
      </c>
      <c r="N20" s="989">
        <v>0</v>
      </c>
      <c r="O20" s="787">
        <f t="shared" si="0"/>
        <v>1600</v>
      </c>
    </row>
    <row r="21" spans="1:15" s="531" customFormat="1" ht="21" customHeight="1" x14ac:dyDescent="0.2">
      <c r="A21" s="987"/>
      <c r="B21" s="976" t="s">
        <v>309</v>
      </c>
      <c r="C21" s="988">
        <v>400</v>
      </c>
      <c r="D21" s="988"/>
      <c r="E21" s="988">
        <f>C21+D21</f>
        <v>400</v>
      </c>
      <c r="F21" s="988"/>
      <c r="G21" s="988">
        <f>E21+F21</f>
        <v>400</v>
      </c>
      <c r="H21" s="988"/>
      <c r="I21" s="988">
        <f>G21+H21</f>
        <v>400</v>
      </c>
      <c r="J21" s="988">
        <v>-75</v>
      </c>
      <c r="K21" s="988">
        <f>I21+J21</f>
        <v>325</v>
      </c>
      <c r="L21" s="988">
        <v>325</v>
      </c>
      <c r="M21" s="988">
        <v>0</v>
      </c>
      <c r="N21" s="989">
        <v>0</v>
      </c>
      <c r="O21" s="787">
        <f t="shared" si="0"/>
        <v>325</v>
      </c>
    </row>
    <row r="22" spans="1:15" s="531" customFormat="1" ht="21" customHeight="1" x14ac:dyDescent="0.2">
      <c r="A22" s="987"/>
      <c r="B22" s="976" t="s">
        <v>133</v>
      </c>
      <c r="C22" s="988">
        <v>0</v>
      </c>
      <c r="D22" s="988"/>
      <c r="E22" s="988">
        <f>C22+D22</f>
        <v>0</v>
      </c>
      <c r="F22" s="988"/>
      <c r="G22" s="988">
        <f>E22+F22</f>
        <v>0</v>
      </c>
      <c r="H22" s="988"/>
      <c r="I22" s="988">
        <f>G22+H22</f>
        <v>0</v>
      </c>
      <c r="J22" s="988">
        <v>75</v>
      </c>
      <c r="K22" s="988">
        <f>I22+J22</f>
        <v>75</v>
      </c>
      <c r="L22" s="988">
        <v>75</v>
      </c>
      <c r="M22" s="988">
        <v>0</v>
      </c>
      <c r="N22" s="989">
        <v>0</v>
      </c>
      <c r="O22" s="787">
        <f t="shared" si="0"/>
        <v>75</v>
      </c>
    </row>
    <row r="23" spans="1:15" s="531" customFormat="1" ht="21" customHeight="1" x14ac:dyDescent="0.2">
      <c r="A23" s="987"/>
      <c r="B23" s="976" t="s">
        <v>43</v>
      </c>
      <c r="C23" s="988">
        <v>0</v>
      </c>
      <c r="D23" s="988"/>
      <c r="E23" s="988">
        <f>C23+D23</f>
        <v>0</v>
      </c>
      <c r="F23" s="988"/>
      <c r="G23" s="988">
        <f>E23+F23</f>
        <v>0</v>
      </c>
      <c r="H23" s="988"/>
      <c r="I23" s="988">
        <f>G23+H23</f>
        <v>0</v>
      </c>
      <c r="J23" s="988"/>
      <c r="K23" s="988">
        <f>I23+J23</f>
        <v>0</v>
      </c>
      <c r="L23" s="988">
        <v>0</v>
      </c>
      <c r="M23" s="988">
        <v>0</v>
      </c>
      <c r="N23" s="989">
        <v>0</v>
      </c>
      <c r="O23" s="787">
        <f t="shared" si="0"/>
        <v>0</v>
      </c>
    </row>
    <row r="24" spans="1:15" s="531" customFormat="1" ht="21" customHeight="1" x14ac:dyDescent="0.2">
      <c r="A24" s="987"/>
      <c r="B24" s="976" t="s">
        <v>368</v>
      </c>
      <c r="C24" s="988">
        <v>3200</v>
      </c>
      <c r="D24" s="988">
        <v>-3200</v>
      </c>
      <c r="E24" s="988">
        <f>C24+D24</f>
        <v>0</v>
      </c>
      <c r="F24" s="988"/>
      <c r="G24" s="988">
        <f>E24+F24</f>
        <v>0</v>
      </c>
      <c r="H24" s="988"/>
      <c r="I24" s="988">
        <f>G24+H24</f>
        <v>0</v>
      </c>
      <c r="J24" s="988"/>
      <c r="K24" s="988">
        <f>I24+J24</f>
        <v>0</v>
      </c>
      <c r="L24" s="988">
        <v>0</v>
      </c>
      <c r="M24" s="988">
        <v>0</v>
      </c>
      <c r="N24" s="989">
        <v>0</v>
      </c>
      <c r="O24" s="787">
        <f t="shared" si="0"/>
        <v>0</v>
      </c>
    </row>
    <row r="25" spans="1:15" s="533" customFormat="1" ht="21" customHeight="1" thickBot="1" x14ac:dyDescent="0.25">
      <c r="A25" s="994"/>
      <c r="B25" s="979" t="s">
        <v>369</v>
      </c>
      <c r="C25" s="995">
        <f t="shared" ref="C25:N25" si="3">SUM(C20:C24)</f>
        <v>5200</v>
      </c>
      <c r="D25" s="995">
        <f t="shared" si="3"/>
        <v>-3200</v>
      </c>
      <c r="E25" s="995">
        <f t="shared" si="3"/>
        <v>2000</v>
      </c>
      <c r="F25" s="995">
        <f t="shared" si="3"/>
        <v>0</v>
      </c>
      <c r="G25" s="995">
        <f t="shared" si="3"/>
        <v>2000</v>
      </c>
      <c r="H25" s="995">
        <f>SUM(H20:H24)</f>
        <v>0</v>
      </c>
      <c r="I25" s="995">
        <f>SUM(I20:I24)</f>
        <v>2000</v>
      </c>
      <c r="J25" s="995">
        <f>SUM(J20:J24)</f>
        <v>0</v>
      </c>
      <c r="K25" s="995">
        <f>SUM(K20:K24)</f>
        <v>2000</v>
      </c>
      <c r="L25" s="995">
        <f t="shared" si="3"/>
        <v>2000</v>
      </c>
      <c r="M25" s="995">
        <f t="shared" si="3"/>
        <v>0</v>
      </c>
      <c r="N25" s="996">
        <f t="shared" si="3"/>
        <v>0</v>
      </c>
      <c r="O25" s="788">
        <f t="shared" si="0"/>
        <v>2000</v>
      </c>
    </row>
    <row r="26" spans="1:15" s="532" customFormat="1" ht="33" customHeight="1" thickBot="1" x14ac:dyDescent="0.25">
      <c r="A26" s="997" t="s">
        <v>279</v>
      </c>
      <c r="B26" s="980" t="s">
        <v>92</v>
      </c>
      <c r="C26" s="1691"/>
      <c r="D26" s="1692"/>
      <c r="E26" s="1692"/>
      <c r="F26" s="1692"/>
      <c r="G26" s="1692"/>
      <c r="H26" s="1692"/>
      <c r="I26" s="1692"/>
      <c r="J26" s="1692"/>
      <c r="K26" s="1692"/>
      <c r="L26" s="1693"/>
      <c r="M26" s="1693"/>
      <c r="N26" s="1694"/>
      <c r="O26" s="787"/>
    </row>
    <row r="27" spans="1:15" s="531" customFormat="1" ht="23.1" customHeight="1" x14ac:dyDescent="0.2">
      <c r="A27" s="998" t="s">
        <v>61</v>
      </c>
      <c r="B27" s="981" t="s">
        <v>93</v>
      </c>
      <c r="C27" s="1701"/>
      <c r="D27" s="1702"/>
      <c r="E27" s="1702"/>
      <c r="F27" s="1702"/>
      <c r="G27" s="1702"/>
      <c r="H27" s="1702"/>
      <c r="I27" s="1702"/>
      <c r="J27" s="1702"/>
      <c r="K27" s="1702"/>
      <c r="L27" s="1703"/>
      <c r="M27" s="1703"/>
      <c r="N27" s="1704"/>
      <c r="O27" s="787"/>
    </row>
    <row r="28" spans="1:15" s="531" customFormat="1" ht="21" customHeight="1" x14ac:dyDescent="0.2">
      <c r="A28" s="987"/>
      <c r="B28" s="976" t="s">
        <v>41</v>
      </c>
      <c r="C28" s="988">
        <v>0</v>
      </c>
      <c r="D28" s="988"/>
      <c r="E28" s="988">
        <f>C28+D28</f>
        <v>0</v>
      </c>
      <c r="F28" s="988"/>
      <c r="G28" s="988">
        <f>E28+F28</f>
        <v>0</v>
      </c>
      <c r="H28" s="988"/>
      <c r="I28" s="988">
        <f>G28+H28</f>
        <v>0</v>
      </c>
      <c r="J28" s="988"/>
      <c r="K28" s="988">
        <f>I28+J28</f>
        <v>0</v>
      </c>
      <c r="L28" s="988">
        <v>0</v>
      </c>
      <c r="M28" s="988">
        <v>0</v>
      </c>
      <c r="N28" s="989">
        <v>0</v>
      </c>
      <c r="O28" s="787">
        <f t="shared" si="0"/>
        <v>0</v>
      </c>
    </row>
    <row r="29" spans="1:15" s="531" customFormat="1" ht="21" customHeight="1" x14ac:dyDescent="0.2">
      <c r="A29" s="987"/>
      <c r="B29" s="976" t="s">
        <v>309</v>
      </c>
      <c r="C29" s="988">
        <v>0</v>
      </c>
      <c r="D29" s="988"/>
      <c r="E29" s="988">
        <f>C29+D29</f>
        <v>0</v>
      </c>
      <c r="F29" s="988"/>
      <c r="G29" s="988">
        <f>E29+F29</f>
        <v>0</v>
      </c>
      <c r="H29" s="988"/>
      <c r="I29" s="988">
        <f>G29+H29</f>
        <v>0</v>
      </c>
      <c r="J29" s="988"/>
      <c r="K29" s="988">
        <f>I29+J29</f>
        <v>0</v>
      </c>
      <c r="L29" s="988">
        <v>0</v>
      </c>
      <c r="M29" s="988">
        <v>0</v>
      </c>
      <c r="N29" s="989">
        <v>0</v>
      </c>
      <c r="O29" s="787">
        <f t="shared" si="0"/>
        <v>0</v>
      </c>
    </row>
    <row r="30" spans="1:15" s="531" customFormat="1" ht="21" customHeight="1" x14ac:dyDescent="0.2">
      <c r="A30" s="987"/>
      <c r="B30" s="976" t="s">
        <v>133</v>
      </c>
      <c r="C30" s="988">
        <v>0</v>
      </c>
      <c r="D30" s="988"/>
      <c r="E30" s="988">
        <f>C30+D30</f>
        <v>0</v>
      </c>
      <c r="F30" s="988"/>
      <c r="G30" s="988">
        <f>E30+F30</f>
        <v>0</v>
      </c>
      <c r="H30" s="988"/>
      <c r="I30" s="988">
        <f>G30+H30</f>
        <v>0</v>
      </c>
      <c r="J30" s="988"/>
      <c r="K30" s="988">
        <f>I30+J30</f>
        <v>0</v>
      </c>
      <c r="L30" s="988">
        <v>0</v>
      </c>
      <c r="M30" s="988">
        <v>0</v>
      </c>
      <c r="N30" s="989">
        <v>0</v>
      </c>
      <c r="O30" s="787">
        <f t="shared" si="0"/>
        <v>0</v>
      </c>
    </row>
    <row r="31" spans="1:15" s="531" customFormat="1" ht="21" customHeight="1" x14ac:dyDescent="0.2">
      <c r="A31" s="987"/>
      <c r="B31" s="976" t="s">
        <v>43</v>
      </c>
      <c r="C31" s="988">
        <v>0</v>
      </c>
      <c r="D31" s="988"/>
      <c r="E31" s="988">
        <f>C31+D31</f>
        <v>0</v>
      </c>
      <c r="F31" s="988"/>
      <c r="G31" s="988">
        <f>E31+F31</f>
        <v>0</v>
      </c>
      <c r="H31" s="988"/>
      <c r="I31" s="988">
        <f>G31+H31</f>
        <v>0</v>
      </c>
      <c r="J31" s="988"/>
      <c r="K31" s="988">
        <f>I31+J31</f>
        <v>0</v>
      </c>
      <c r="L31" s="988">
        <v>0</v>
      </c>
      <c r="M31" s="988">
        <v>0</v>
      </c>
      <c r="N31" s="989">
        <v>0</v>
      </c>
      <c r="O31" s="787">
        <f t="shared" si="0"/>
        <v>0</v>
      </c>
    </row>
    <row r="32" spans="1:15" s="531" customFormat="1" ht="21" customHeight="1" x14ac:dyDescent="0.2">
      <c r="A32" s="987"/>
      <c r="B32" s="976" t="s">
        <v>368</v>
      </c>
      <c r="C32" s="988">
        <v>0</v>
      </c>
      <c r="D32" s="988"/>
      <c r="E32" s="988">
        <f>C32+D32</f>
        <v>0</v>
      </c>
      <c r="F32" s="988"/>
      <c r="G32" s="988">
        <f>E32+F32</f>
        <v>0</v>
      </c>
      <c r="H32" s="988"/>
      <c r="I32" s="988">
        <f>G32+H32</f>
        <v>0</v>
      </c>
      <c r="J32" s="988"/>
      <c r="K32" s="988">
        <f>I32+J32</f>
        <v>0</v>
      </c>
      <c r="L32" s="988">
        <v>0</v>
      </c>
      <c r="M32" s="988">
        <v>0</v>
      </c>
      <c r="N32" s="989">
        <v>0</v>
      </c>
      <c r="O32" s="787">
        <f t="shared" si="0"/>
        <v>0</v>
      </c>
    </row>
    <row r="33" spans="1:15" s="533" customFormat="1" ht="21" customHeight="1" x14ac:dyDescent="0.2">
      <c r="A33" s="990"/>
      <c r="B33" s="977" t="s">
        <v>369</v>
      </c>
      <c r="C33" s="991">
        <f t="shared" ref="C33:N33" si="4">SUM(C28:C32)</f>
        <v>0</v>
      </c>
      <c r="D33" s="991">
        <f t="shared" si="4"/>
        <v>0</v>
      </c>
      <c r="E33" s="991">
        <f t="shared" si="4"/>
        <v>0</v>
      </c>
      <c r="F33" s="991">
        <f t="shared" si="4"/>
        <v>0</v>
      </c>
      <c r="G33" s="991">
        <f t="shared" si="4"/>
        <v>0</v>
      </c>
      <c r="H33" s="991">
        <f>SUM(H28:H32)</f>
        <v>0</v>
      </c>
      <c r="I33" s="991">
        <f>SUM(I28:I32)</f>
        <v>0</v>
      </c>
      <c r="J33" s="991">
        <f>SUM(J28:J32)</f>
        <v>0</v>
      </c>
      <c r="K33" s="991">
        <f>SUM(K28:K32)</f>
        <v>0</v>
      </c>
      <c r="L33" s="991">
        <f t="shared" si="4"/>
        <v>0</v>
      </c>
      <c r="M33" s="991">
        <f t="shared" si="4"/>
        <v>0</v>
      </c>
      <c r="N33" s="992">
        <f t="shared" si="4"/>
        <v>0</v>
      </c>
      <c r="O33" s="788">
        <f t="shared" si="0"/>
        <v>0</v>
      </c>
    </row>
    <row r="34" spans="1:15" s="531" customFormat="1" ht="23.1" customHeight="1" x14ac:dyDescent="0.2">
      <c r="A34" s="993" t="s">
        <v>62</v>
      </c>
      <c r="B34" s="978" t="s">
        <v>96</v>
      </c>
      <c r="C34" s="1705"/>
      <c r="D34" s="1706"/>
      <c r="E34" s="1706"/>
      <c r="F34" s="1706"/>
      <c r="G34" s="1706"/>
      <c r="H34" s="1706"/>
      <c r="I34" s="1706"/>
      <c r="J34" s="1706"/>
      <c r="K34" s="1706"/>
      <c r="L34" s="1707"/>
      <c r="M34" s="1707"/>
      <c r="N34" s="1708"/>
      <c r="O34" s="787"/>
    </row>
    <row r="35" spans="1:15" s="531" customFormat="1" ht="21" customHeight="1" x14ac:dyDescent="0.2">
      <c r="A35" s="987"/>
      <c r="B35" s="976" t="s">
        <v>41</v>
      </c>
      <c r="C35" s="988">
        <v>0</v>
      </c>
      <c r="D35" s="988"/>
      <c r="E35" s="988">
        <f>C35+D35</f>
        <v>0</v>
      </c>
      <c r="F35" s="988"/>
      <c r="G35" s="988">
        <f>E35+F35</f>
        <v>0</v>
      </c>
      <c r="H35" s="988"/>
      <c r="I35" s="988">
        <f>G35+H35</f>
        <v>0</v>
      </c>
      <c r="J35" s="988"/>
      <c r="K35" s="988">
        <f>I35+J35</f>
        <v>0</v>
      </c>
      <c r="L35" s="988">
        <f>SUM(L34:L34)</f>
        <v>0</v>
      </c>
      <c r="M35" s="988">
        <f>SUM(M34:M34)</f>
        <v>0</v>
      </c>
      <c r="N35" s="989">
        <f>SUM(N34:N34)</f>
        <v>0</v>
      </c>
      <c r="O35" s="787">
        <f t="shared" si="0"/>
        <v>0</v>
      </c>
    </row>
    <row r="36" spans="1:15" s="531" customFormat="1" ht="21" customHeight="1" x14ac:dyDescent="0.2">
      <c r="A36" s="987"/>
      <c r="B36" s="976" t="s">
        <v>309</v>
      </c>
      <c r="C36" s="988">
        <v>0</v>
      </c>
      <c r="D36" s="988"/>
      <c r="E36" s="988">
        <f>C36+D36</f>
        <v>0</v>
      </c>
      <c r="F36" s="988"/>
      <c r="G36" s="988">
        <f>E36+F36</f>
        <v>0</v>
      </c>
      <c r="H36" s="988"/>
      <c r="I36" s="988">
        <f>G36+H36</f>
        <v>0</v>
      </c>
      <c r="J36" s="988"/>
      <c r="K36" s="988">
        <f>I36+J36</f>
        <v>0</v>
      </c>
      <c r="L36" s="988">
        <f>SUM(L34:L35)</f>
        <v>0</v>
      </c>
      <c r="M36" s="988">
        <f>SUM(M34:M35)</f>
        <v>0</v>
      </c>
      <c r="N36" s="989">
        <f>SUM(N34:N35)</f>
        <v>0</v>
      </c>
      <c r="O36" s="787">
        <f t="shared" si="0"/>
        <v>0</v>
      </c>
    </row>
    <row r="37" spans="1:15" s="531" customFormat="1" ht="21" customHeight="1" x14ac:dyDescent="0.2">
      <c r="A37" s="987"/>
      <c r="B37" s="976" t="s">
        <v>133</v>
      </c>
      <c r="C37" s="988">
        <v>6000</v>
      </c>
      <c r="D37" s="988"/>
      <c r="E37" s="988">
        <f>C37+D37</f>
        <v>6000</v>
      </c>
      <c r="F37" s="988"/>
      <c r="G37" s="988">
        <f>E37+F37</f>
        <v>6000</v>
      </c>
      <c r="H37" s="988">
        <v>-5000</v>
      </c>
      <c r="I37" s="988">
        <f>G37+H37</f>
        <v>1000</v>
      </c>
      <c r="J37" s="988"/>
      <c r="K37" s="988">
        <f>I37+J37</f>
        <v>1000</v>
      </c>
      <c r="L37" s="988">
        <v>1000</v>
      </c>
      <c r="M37" s="988">
        <f>SUM(M34:M36)</f>
        <v>0</v>
      </c>
      <c r="N37" s="989">
        <f>SUM(N34:N36)</f>
        <v>0</v>
      </c>
      <c r="O37" s="787">
        <f t="shared" si="0"/>
        <v>1000</v>
      </c>
    </row>
    <row r="38" spans="1:15" s="531" customFormat="1" ht="21" customHeight="1" x14ac:dyDescent="0.2">
      <c r="A38" s="987"/>
      <c r="B38" s="976" t="s">
        <v>43</v>
      </c>
      <c r="C38" s="988">
        <f>'16'!C12</f>
        <v>387600</v>
      </c>
      <c r="D38" s="988"/>
      <c r="E38" s="988">
        <f>C38+D38</f>
        <v>387600</v>
      </c>
      <c r="F38" s="988"/>
      <c r="G38" s="988">
        <f>E38+F38</f>
        <v>387600</v>
      </c>
      <c r="H38" s="988">
        <f>'16'!L12</f>
        <v>-145000</v>
      </c>
      <c r="I38" s="988">
        <f>G38+H38+150000</f>
        <v>392600</v>
      </c>
      <c r="J38" s="988">
        <v>-20000</v>
      </c>
      <c r="K38" s="988">
        <f>I38+J38</f>
        <v>372600</v>
      </c>
      <c r="L38" s="988">
        <f>'16'!P12</f>
        <v>308412</v>
      </c>
      <c r="M38" s="988">
        <f>'16'!Q12</f>
        <v>64188</v>
      </c>
      <c r="N38" s="989">
        <f>SUM(N34:N37)</f>
        <v>0</v>
      </c>
      <c r="O38" s="787">
        <f t="shared" si="0"/>
        <v>372600</v>
      </c>
    </row>
    <row r="39" spans="1:15" s="531" customFormat="1" ht="21" customHeight="1" x14ac:dyDescent="0.2">
      <c r="A39" s="987"/>
      <c r="B39" s="976" t="s">
        <v>368</v>
      </c>
      <c r="C39" s="999">
        <v>0</v>
      </c>
      <c r="D39" s="999"/>
      <c r="E39" s="988">
        <f>C39+D39</f>
        <v>0</v>
      </c>
      <c r="F39" s="988"/>
      <c r="G39" s="988">
        <f>E39+F39</f>
        <v>0</v>
      </c>
      <c r="H39" s="988"/>
      <c r="I39" s="988">
        <f>G39+H39</f>
        <v>0</v>
      </c>
      <c r="J39" s="988"/>
      <c r="K39" s="988">
        <f>I39+J39</f>
        <v>0</v>
      </c>
      <c r="L39" s="999">
        <v>0</v>
      </c>
      <c r="M39" s="999">
        <v>0</v>
      </c>
      <c r="N39" s="1000">
        <v>0</v>
      </c>
      <c r="O39" s="787">
        <f t="shared" si="0"/>
        <v>0</v>
      </c>
    </row>
    <row r="40" spans="1:15" s="533" customFormat="1" ht="21" customHeight="1" thickBot="1" x14ac:dyDescent="0.25">
      <c r="A40" s="1001"/>
      <c r="B40" s="982" t="s">
        <v>369</v>
      </c>
      <c r="C40" s="1002">
        <f t="shared" ref="C40:N40" si="5">SUM(C35:C39)</f>
        <v>393600</v>
      </c>
      <c r="D40" s="1002">
        <f t="shared" si="5"/>
        <v>0</v>
      </c>
      <c r="E40" s="1002">
        <f t="shared" si="5"/>
        <v>393600</v>
      </c>
      <c r="F40" s="1002">
        <f t="shared" si="5"/>
        <v>0</v>
      </c>
      <c r="G40" s="1002">
        <f t="shared" si="5"/>
        <v>393600</v>
      </c>
      <c r="H40" s="1002">
        <f>SUM(H35:H39)</f>
        <v>-150000</v>
      </c>
      <c r="I40" s="1002">
        <f>SUM(I35:I39)</f>
        <v>393600</v>
      </c>
      <c r="J40" s="1002">
        <f>SUM(J35:J39)</f>
        <v>-20000</v>
      </c>
      <c r="K40" s="1002">
        <f>SUM(K35:K39)</f>
        <v>373600</v>
      </c>
      <c r="L40" s="1002">
        <f t="shared" si="5"/>
        <v>309412</v>
      </c>
      <c r="M40" s="1002">
        <f t="shared" si="5"/>
        <v>64188</v>
      </c>
      <c r="N40" s="1003">
        <f t="shared" si="5"/>
        <v>0</v>
      </c>
      <c r="O40" s="788">
        <f t="shared" si="0"/>
        <v>373600</v>
      </c>
    </row>
    <row r="41" spans="1:15" s="534" customFormat="1" ht="31.15" customHeight="1" thickBot="1" x14ac:dyDescent="0.25">
      <c r="A41" s="997" t="s">
        <v>280</v>
      </c>
      <c r="B41" s="980" t="s">
        <v>97</v>
      </c>
      <c r="C41" s="1699"/>
      <c r="D41" s="1700"/>
      <c r="E41" s="1700"/>
      <c r="F41" s="1700"/>
      <c r="G41" s="1700"/>
      <c r="H41" s="1700"/>
      <c r="I41" s="1700"/>
      <c r="J41" s="1700"/>
      <c r="K41" s="1700"/>
      <c r="L41" s="1693"/>
      <c r="M41" s="1693"/>
      <c r="N41" s="1694"/>
      <c r="O41" s="787"/>
    </row>
    <row r="42" spans="1:15" s="531" customFormat="1" ht="23.1" customHeight="1" x14ac:dyDescent="0.2">
      <c r="A42" s="998" t="s">
        <v>61</v>
      </c>
      <c r="B42" s="981" t="s">
        <v>98</v>
      </c>
      <c r="C42" s="1701"/>
      <c r="D42" s="1702"/>
      <c r="E42" s="1702"/>
      <c r="F42" s="1702"/>
      <c r="G42" s="1702"/>
      <c r="H42" s="1702"/>
      <c r="I42" s="1702"/>
      <c r="J42" s="1702"/>
      <c r="K42" s="1702"/>
      <c r="L42" s="1703"/>
      <c r="M42" s="1703"/>
      <c r="N42" s="1704"/>
      <c r="O42" s="787"/>
    </row>
    <row r="43" spans="1:15" s="531" customFormat="1" ht="19.149999999999999" customHeight="1" x14ac:dyDescent="0.2">
      <c r="A43" s="987"/>
      <c r="B43" s="976" t="s">
        <v>41</v>
      </c>
      <c r="C43" s="1004">
        <v>207000</v>
      </c>
      <c r="D43" s="1004">
        <f>12150+505+63+4086</f>
        <v>16804</v>
      </c>
      <c r="E43" s="1004">
        <v>224138</v>
      </c>
      <c r="F43" s="1004">
        <f>2377-3150+128+20000</f>
        <v>19355</v>
      </c>
      <c r="G43" s="1004">
        <f>E43+F43</f>
        <v>243493</v>
      </c>
      <c r="H43" s="1004">
        <f>65+200</f>
        <v>265</v>
      </c>
      <c r="I43" s="1004">
        <f>G43+H43</f>
        <v>243758</v>
      </c>
      <c r="J43" s="1004">
        <f>-668+(-82)+53</f>
        <v>-697</v>
      </c>
      <c r="K43" s="1004">
        <f>I43+J43</f>
        <v>243061</v>
      </c>
      <c r="L43" s="1004">
        <f>K43*0.75</f>
        <v>182295.75</v>
      </c>
      <c r="M43" s="1004">
        <v>60765</v>
      </c>
      <c r="N43" s="1005">
        <f>SUM(N41:N42)</f>
        <v>0</v>
      </c>
      <c r="O43" s="787">
        <f t="shared" si="0"/>
        <v>243060.75</v>
      </c>
    </row>
    <row r="44" spans="1:15" s="531" customFormat="1" ht="21" customHeight="1" x14ac:dyDescent="0.2">
      <c r="A44" s="987"/>
      <c r="B44" s="976" t="s">
        <v>309</v>
      </c>
      <c r="C44" s="1004">
        <v>62300</v>
      </c>
      <c r="D44" s="1004">
        <f>7297+136+17+1151</f>
        <v>8601</v>
      </c>
      <c r="E44" s="1004">
        <v>70965</v>
      </c>
      <c r="F44" s="1004">
        <f>690+34</f>
        <v>724</v>
      </c>
      <c r="G44" s="1004">
        <f t="shared" ref="G44:G49" si="6">E44+F44</f>
        <v>71689</v>
      </c>
      <c r="H44" s="1004">
        <f>17</f>
        <v>17</v>
      </c>
      <c r="I44" s="1004">
        <f>G44+H44</f>
        <v>71706</v>
      </c>
      <c r="J44" s="1004">
        <v>14</v>
      </c>
      <c r="K44" s="1004">
        <f>I44+J44</f>
        <v>71720</v>
      </c>
      <c r="L44" s="1004">
        <f t="shared" ref="L44:L45" si="7">K44*0.75</f>
        <v>53790</v>
      </c>
      <c r="M44" s="1004">
        <v>17930</v>
      </c>
      <c r="N44" s="1005">
        <f>SUM(N41:N43)</f>
        <v>0</v>
      </c>
      <c r="O44" s="787">
        <f t="shared" si="0"/>
        <v>71720</v>
      </c>
    </row>
    <row r="45" spans="1:15" s="531" customFormat="1" ht="19.149999999999999" customHeight="1" x14ac:dyDescent="0.2">
      <c r="A45" s="987"/>
      <c r="B45" s="976" t="s">
        <v>133</v>
      </c>
      <c r="C45" s="1004">
        <f>109000+295</f>
        <v>109295</v>
      </c>
      <c r="D45" s="1004">
        <f>25402+2200</f>
        <v>27602</v>
      </c>
      <c r="E45" s="1004">
        <v>138262</v>
      </c>
      <c r="F45" s="1004">
        <f>532+3150</f>
        <v>3682</v>
      </c>
      <c r="G45" s="1004">
        <f t="shared" si="6"/>
        <v>141944</v>
      </c>
      <c r="H45" s="1004">
        <v>2800</v>
      </c>
      <c r="I45" s="1004">
        <f>G45+H45</f>
        <v>144744</v>
      </c>
      <c r="J45" s="1004">
        <v>1890</v>
      </c>
      <c r="K45" s="1004">
        <f>I45+J45</f>
        <v>146634</v>
      </c>
      <c r="L45" s="1004">
        <f t="shared" si="7"/>
        <v>109975.5</v>
      </c>
      <c r="M45" s="1004">
        <f>K45-L45</f>
        <v>36658.5</v>
      </c>
      <c r="N45" s="1005">
        <f>SUM(N41:N44)</f>
        <v>0</v>
      </c>
      <c r="O45" s="787">
        <f t="shared" si="0"/>
        <v>146634</v>
      </c>
    </row>
    <row r="46" spans="1:15" s="531" customFormat="1" ht="19.149999999999999" customHeight="1" x14ac:dyDescent="0.2">
      <c r="A46" s="987"/>
      <c r="B46" s="976" t="s">
        <v>43</v>
      </c>
      <c r="C46" s="1004">
        <v>0</v>
      </c>
      <c r="D46" s="1004"/>
      <c r="E46" s="1004">
        <f>C46+D46</f>
        <v>0</v>
      </c>
      <c r="F46" s="1004"/>
      <c r="G46" s="1004">
        <f t="shared" si="6"/>
        <v>0</v>
      </c>
      <c r="H46" s="1004"/>
      <c r="I46" s="1004">
        <f>G46+H46</f>
        <v>0</v>
      </c>
      <c r="J46" s="1004"/>
      <c r="K46" s="1004">
        <f>I46+J46</f>
        <v>0</v>
      </c>
      <c r="L46" s="1004">
        <v>0</v>
      </c>
      <c r="M46" s="1004">
        <v>0</v>
      </c>
      <c r="N46" s="1005">
        <f>SUM(N41:N45)</f>
        <v>0</v>
      </c>
      <c r="O46" s="787">
        <f t="shared" si="0"/>
        <v>0</v>
      </c>
    </row>
    <row r="47" spans="1:15" s="531" customFormat="1" ht="19.149999999999999" customHeight="1" x14ac:dyDescent="0.2">
      <c r="A47" s="987"/>
      <c r="B47" s="976" t="s">
        <v>368</v>
      </c>
      <c r="C47" s="1004">
        <v>40400</v>
      </c>
      <c r="D47" s="1004">
        <v>-40400</v>
      </c>
      <c r="E47" s="1004">
        <f>C47+D47</f>
        <v>0</v>
      </c>
      <c r="F47" s="1004"/>
      <c r="G47" s="1004">
        <f t="shared" si="6"/>
        <v>0</v>
      </c>
      <c r="H47" s="1004"/>
      <c r="I47" s="1004">
        <f>G47+H47</f>
        <v>0</v>
      </c>
      <c r="J47" s="1004"/>
      <c r="K47" s="1004">
        <f>I47+J47</f>
        <v>0</v>
      </c>
      <c r="L47" s="1004">
        <v>0</v>
      </c>
      <c r="M47" s="1004">
        <v>0</v>
      </c>
      <c r="N47" s="1005">
        <f>SUM(N42:N46)</f>
        <v>0</v>
      </c>
      <c r="O47" s="787">
        <f t="shared" si="0"/>
        <v>0</v>
      </c>
    </row>
    <row r="48" spans="1:15" s="533" customFormat="1" ht="21" customHeight="1" x14ac:dyDescent="0.2">
      <c r="A48" s="990"/>
      <c r="B48" s="977" t="s">
        <v>369</v>
      </c>
      <c r="C48" s="1006">
        <f t="shared" ref="C48:G48" si="8">SUM(C43:C47)</f>
        <v>418995</v>
      </c>
      <c r="D48" s="1006">
        <f t="shared" si="8"/>
        <v>12607</v>
      </c>
      <c r="E48" s="1006">
        <f t="shared" si="8"/>
        <v>433365</v>
      </c>
      <c r="F48" s="1006">
        <f t="shared" si="8"/>
        <v>23761</v>
      </c>
      <c r="G48" s="1006">
        <f t="shared" si="8"/>
        <v>457126</v>
      </c>
      <c r="H48" s="1006">
        <f t="shared" ref="H48:M48" si="9">SUM(H43:H47)</f>
        <v>3082</v>
      </c>
      <c r="I48" s="1006">
        <f t="shared" si="9"/>
        <v>460208</v>
      </c>
      <c r="J48" s="1006">
        <f>SUM(J43:J47)</f>
        <v>1207</v>
      </c>
      <c r="K48" s="1006">
        <f t="shared" si="9"/>
        <v>461415</v>
      </c>
      <c r="L48" s="1006">
        <f t="shared" si="9"/>
        <v>346061.25</v>
      </c>
      <c r="M48" s="1006">
        <f t="shared" si="9"/>
        <v>115353.5</v>
      </c>
      <c r="N48" s="1007">
        <f>SUM(N43:N47)</f>
        <v>0</v>
      </c>
      <c r="O48" s="788">
        <f t="shared" si="0"/>
        <v>461414.75</v>
      </c>
    </row>
    <row r="49" spans="1:98" s="531" customFormat="1" ht="19.149999999999999" customHeight="1" x14ac:dyDescent="0.2">
      <c r="A49" s="987"/>
      <c r="B49" s="976" t="s">
        <v>371</v>
      </c>
      <c r="C49" s="988">
        <f>17000+4000</f>
        <v>21000</v>
      </c>
      <c r="D49" s="988">
        <v>-17000</v>
      </c>
      <c r="E49" s="1004">
        <f>C49+D49</f>
        <v>4000</v>
      </c>
      <c r="F49" s="1004"/>
      <c r="G49" s="1004">
        <f t="shared" si="6"/>
        <v>4000</v>
      </c>
      <c r="H49" s="1004"/>
      <c r="I49" s="1004">
        <f>G49+H49</f>
        <v>4000</v>
      </c>
      <c r="J49" s="1004"/>
      <c r="K49" s="1004">
        <f>I49+J49</f>
        <v>4000</v>
      </c>
      <c r="L49" s="988">
        <v>0</v>
      </c>
      <c r="M49" s="1004">
        <f>G49-L49</f>
        <v>4000</v>
      </c>
      <c r="N49" s="989">
        <v>0</v>
      </c>
      <c r="O49" s="787">
        <f t="shared" si="0"/>
        <v>4000</v>
      </c>
    </row>
    <row r="50" spans="1:98" s="533" customFormat="1" ht="21" customHeight="1" thickBot="1" x14ac:dyDescent="0.25">
      <c r="A50" s="1001"/>
      <c r="B50" s="982" t="s">
        <v>372</v>
      </c>
      <c r="C50" s="1002">
        <f t="shared" ref="C50:N50" si="10">SUM(C49:C49)</f>
        <v>21000</v>
      </c>
      <c r="D50" s="1002">
        <f t="shared" si="10"/>
        <v>-17000</v>
      </c>
      <c r="E50" s="1002">
        <f t="shared" si="10"/>
        <v>4000</v>
      </c>
      <c r="F50" s="1002">
        <f t="shared" si="10"/>
        <v>0</v>
      </c>
      <c r="G50" s="1002">
        <f t="shared" si="10"/>
        <v>4000</v>
      </c>
      <c r="H50" s="1002">
        <f>H49</f>
        <v>0</v>
      </c>
      <c r="I50" s="1002">
        <f>I49</f>
        <v>4000</v>
      </c>
      <c r="J50" s="1002">
        <f>J49</f>
        <v>0</v>
      </c>
      <c r="K50" s="1002">
        <f>K49</f>
        <v>4000</v>
      </c>
      <c r="L50" s="1002">
        <f t="shared" si="10"/>
        <v>0</v>
      </c>
      <c r="M50" s="1006">
        <f>G50-L50</f>
        <v>4000</v>
      </c>
      <c r="N50" s="1003">
        <f t="shared" si="10"/>
        <v>0</v>
      </c>
      <c r="O50" s="788">
        <f t="shared" si="0"/>
        <v>4000</v>
      </c>
    </row>
    <row r="51" spans="1:98" s="531" customFormat="1" ht="30.6" customHeight="1" x14ac:dyDescent="0.2">
      <c r="A51" s="1008" t="s">
        <v>62</v>
      </c>
      <c r="B51" s="983" t="s">
        <v>361</v>
      </c>
      <c r="C51" s="1695"/>
      <c r="D51" s="1696"/>
      <c r="E51" s="1696"/>
      <c r="F51" s="1696"/>
      <c r="G51" s="1696"/>
      <c r="H51" s="1696"/>
      <c r="I51" s="1696"/>
      <c r="J51" s="1696"/>
      <c r="K51" s="1696"/>
      <c r="L51" s="1697"/>
      <c r="M51" s="1697"/>
      <c r="N51" s="1698"/>
      <c r="O51" s="787"/>
    </row>
    <row r="52" spans="1:98" s="531" customFormat="1" ht="19.149999999999999" customHeight="1" x14ac:dyDescent="0.2">
      <c r="A52" s="987"/>
      <c r="B52" s="976" t="s">
        <v>41</v>
      </c>
      <c r="C52" s="1004">
        <v>39340</v>
      </c>
      <c r="D52" s="1004">
        <v>604</v>
      </c>
      <c r="E52" s="1004">
        <f>C52+D52</f>
        <v>39944</v>
      </c>
      <c r="F52" s="1004"/>
      <c r="G52" s="1004">
        <f>E52+F52</f>
        <v>39944</v>
      </c>
      <c r="H52" s="1004">
        <v>-329</v>
      </c>
      <c r="I52" s="1004">
        <f>G52+H52</f>
        <v>39615</v>
      </c>
      <c r="J52" s="1004"/>
      <c r="K52" s="1004">
        <f>I52+J52</f>
        <v>39615</v>
      </c>
      <c r="L52" s="1004">
        <f>28600+D52</f>
        <v>29204</v>
      </c>
      <c r="M52" s="1004">
        <f>I52-L52</f>
        <v>10411</v>
      </c>
      <c r="N52" s="1009"/>
      <c r="O52" s="787">
        <f t="shared" si="0"/>
        <v>39615</v>
      </c>
    </row>
    <row r="53" spans="1:98" s="531" customFormat="1" ht="21" customHeight="1" x14ac:dyDescent="0.2">
      <c r="A53" s="987"/>
      <c r="B53" s="976" t="s">
        <v>309</v>
      </c>
      <c r="C53" s="1004">
        <v>10334</v>
      </c>
      <c r="D53" s="1004">
        <v>648</v>
      </c>
      <c r="E53" s="1004">
        <f>C53+D53</f>
        <v>10982</v>
      </c>
      <c r="F53" s="1004"/>
      <c r="G53" s="1004">
        <f>E53+F53</f>
        <v>10982</v>
      </c>
      <c r="H53" s="1004">
        <v>-89</v>
      </c>
      <c r="I53" s="1004">
        <f>G53+H53</f>
        <v>10893</v>
      </c>
      <c r="J53" s="1004"/>
      <c r="K53" s="1004">
        <f>I53+J53</f>
        <v>10893</v>
      </c>
      <c r="L53" s="1004">
        <f>7700+D53</f>
        <v>8348</v>
      </c>
      <c r="M53" s="1004">
        <f>I53-L53</f>
        <v>2545</v>
      </c>
      <c r="N53" s="1009"/>
      <c r="O53" s="787">
        <f t="shared" si="0"/>
        <v>10893</v>
      </c>
    </row>
    <row r="54" spans="1:98" s="531" customFormat="1" ht="19.149999999999999" customHeight="1" x14ac:dyDescent="0.2">
      <c r="A54" s="987"/>
      <c r="B54" s="976" t="s">
        <v>133</v>
      </c>
      <c r="C54" s="1004">
        <v>1000</v>
      </c>
      <c r="D54" s="1004">
        <v>2472</v>
      </c>
      <c r="E54" s="1004">
        <f>C54+D54</f>
        <v>3472</v>
      </c>
      <c r="F54" s="1004"/>
      <c r="G54" s="1004">
        <f>E54+F54</f>
        <v>3472</v>
      </c>
      <c r="H54" s="1004"/>
      <c r="I54" s="1004">
        <f>G54+H54</f>
        <v>3472</v>
      </c>
      <c r="J54" s="1004"/>
      <c r="K54" s="1004">
        <f>I54+J54</f>
        <v>3472</v>
      </c>
      <c r="L54" s="1004">
        <f>1000+D54</f>
        <v>3472</v>
      </c>
      <c r="M54" s="1004">
        <v>0</v>
      </c>
      <c r="N54" s="1005">
        <v>0</v>
      </c>
      <c r="O54" s="787">
        <f t="shared" si="0"/>
        <v>3472</v>
      </c>
    </row>
    <row r="55" spans="1:98" s="531" customFormat="1" ht="19.149999999999999" customHeight="1" x14ac:dyDescent="0.2">
      <c r="A55" s="987"/>
      <c r="B55" s="976" t="s">
        <v>43</v>
      </c>
      <c r="C55" s="1004">
        <v>0</v>
      </c>
      <c r="D55" s="1004"/>
      <c r="E55" s="1004">
        <f>C55+D55</f>
        <v>0</v>
      </c>
      <c r="F55" s="1004"/>
      <c r="G55" s="1004">
        <f>E55+F55</f>
        <v>0</v>
      </c>
      <c r="H55" s="1004"/>
      <c r="I55" s="1004">
        <f>G55+H55</f>
        <v>0</v>
      </c>
      <c r="J55" s="1004"/>
      <c r="K55" s="1004">
        <f>I55+J55</f>
        <v>0</v>
      </c>
      <c r="L55" s="1004">
        <v>0</v>
      </c>
      <c r="M55" s="1004">
        <v>0</v>
      </c>
      <c r="N55" s="1005">
        <v>0</v>
      </c>
      <c r="O55" s="787">
        <f t="shared" si="0"/>
        <v>0</v>
      </c>
    </row>
    <row r="56" spans="1:98" s="531" customFormat="1" ht="19.149999999999999" customHeight="1" x14ac:dyDescent="0.2">
      <c r="A56" s="987"/>
      <c r="B56" s="976" t="s">
        <v>368</v>
      </c>
      <c r="C56" s="1004">
        <v>3300</v>
      </c>
      <c r="D56" s="1004">
        <v>-3300</v>
      </c>
      <c r="E56" s="1004">
        <f>C56+D56</f>
        <v>0</v>
      </c>
      <c r="F56" s="1004"/>
      <c r="G56" s="1004">
        <f>E56+F56</f>
        <v>0</v>
      </c>
      <c r="H56" s="1004"/>
      <c r="I56" s="1004">
        <f>G56+H56</f>
        <v>0</v>
      </c>
      <c r="J56" s="1004"/>
      <c r="K56" s="1004">
        <f>I56+J56</f>
        <v>0</v>
      </c>
      <c r="L56" s="1004">
        <v>0</v>
      </c>
      <c r="M56" s="1004">
        <v>0</v>
      </c>
      <c r="N56" s="1005">
        <v>0</v>
      </c>
      <c r="O56" s="787">
        <f t="shared" si="0"/>
        <v>0</v>
      </c>
    </row>
    <row r="57" spans="1:98" s="533" customFormat="1" ht="21" customHeight="1" thickBot="1" x14ac:dyDescent="0.25">
      <c r="A57" s="1001"/>
      <c r="B57" s="982" t="s">
        <v>369</v>
      </c>
      <c r="C57" s="1018">
        <f t="shared" ref="C57:N57" si="11">SUM(C52:C56)</f>
        <v>53974</v>
      </c>
      <c r="D57" s="1018">
        <f t="shared" si="11"/>
        <v>424</v>
      </c>
      <c r="E57" s="1018">
        <f t="shared" si="11"/>
        <v>54398</v>
      </c>
      <c r="F57" s="1018">
        <f t="shared" si="11"/>
        <v>0</v>
      </c>
      <c r="G57" s="1018">
        <f t="shared" si="11"/>
        <v>54398</v>
      </c>
      <c r="H57" s="1018">
        <f>SUM(H52:H56)</f>
        <v>-418</v>
      </c>
      <c r="I57" s="1018">
        <f>SUM(I52:I56)</f>
        <v>53980</v>
      </c>
      <c r="J57" s="1018">
        <f>SUM(J52:J56)</f>
        <v>0</v>
      </c>
      <c r="K57" s="1018">
        <f>SUM(K52:K56)</f>
        <v>53980</v>
      </c>
      <c r="L57" s="1018">
        <f t="shared" si="11"/>
        <v>41024</v>
      </c>
      <c r="M57" s="1018">
        <f t="shared" si="11"/>
        <v>12956</v>
      </c>
      <c r="N57" s="1019">
        <f t="shared" si="11"/>
        <v>0</v>
      </c>
      <c r="O57" s="788">
        <f t="shared" si="0"/>
        <v>53980</v>
      </c>
    </row>
    <row r="58" spans="1:98" s="535" customFormat="1" ht="31.15" customHeight="1" thickBot="1" x14ac:dyDescent="0.25">
      <c r="A58" s="997" t="s">
        <v>281</v>
      </c>
      <c r="B58" s="980" t="s">
        <v>100</v>
      </c>
      <c r="C58" s="1699"/>
      <c r="D58" s="1700"/>
      <c r="E58" s="1700"/>
      <c r="F58" s="1700"/>
      <c r="G58" s="1700"/>
      <c r="H58" s="1700"/>
      <c r="I58" s="1700"/>
      <c r="J58" s="1700"/>
      <c r="K58" s="1700"/>
      <c r="L58" s="1693"/>
      <c r="M58" s="1693"/>
      <c r="N58" s="1694"/>
      <c r="O58" s="787"/>
      <c r="P58" s="534"/>
      <c r="Q58" s="534"/>
      <c r="R58" s="534"/>
      <c r="S58" s="534"/>
      <c r="T58" s="534"/>
      <c r="U58" s="534"/>
      <c r="V58" s="534"/>
      <c r="W58" s="534"/>
      <c r="X58" s="534"/>
      <c r="Y58" s="534"/>
      <c r="Z58" s="534"/>
      <c r="AA58" s="534"/>
      <c r="AB58" s="534"/>
      <c r="AC58" s="534"/>
      <c r="AD58" s="534"/>
      <c r="AE58" s="534"/>
      <c r="AF58" s="534"/>
      <c r="AG58" s="534"/>
      <c r="AH58" s="534"/>
      <c r="AI58" s="534"/>
      <c r="AJ58" s="534"/>
      <c r="AK58" s="534"/>
      <c r="AL58" s="534"/>
      <c r="AM58" s="534"/>
      <c r="AN58" s="534"/>
      <c r="AO58" s="534"/>
      <c r="AP58" s="534"/>
      <c r="AQ58" s="534"/>
      <c r="AR58" s="534"/>
      <c r="AS58" s="534"/>
      <c r="AT58" s="534"/>
      <c r="AU58" s="534"/>
      <c r="AV58" s="534"/>
      <c r="AW58" s="534"/>
      <c r="AX58" s="534"/>
      <c r="AY58" s="534"/>
      <c r="AZ58" s="534"/>
      <c r="BA58" s="534"/>
      <c r="BB58" s="534"/>
      <c r="BC58" s="534"/>
      <c r="BD58" s="534"/>
      <c r="BE58" s="534"/>
      <c r="BF58" s="534"/>
      <c r="BG58" s="534"/>
      <c r="BH58" s="534"/>
      <c r="BI58" s="534"/>
      <c r="BJ58" s="534"/>
      <c r="BK58" s="534"/>
      <c r="BL58" s="534"/>
      <c r="BM58" s="534"/>
      <c r="BN58" s="534"/>
      <c r="BO58" s="534"/>
      <c r="BP58" s="534"/>
      <c r="BQ58" s="534"/>
      <c r="BR58" s="534"/>
      <c r="BS58" s="534"/>
      <c r="BT58" s="534"/>
      <c r="BU58" s="534"/>
      <c r="BV58" s="534"/>
      <c r="BW58" s="534"/>
      <c r="BX58" s="534"/>
      <c r="BY58" s="534"/>
      <c r="BZ58" s="534"/>
      <c r="CA58" s="534"/>
      <c r="CB58" s="534"/>
      <c r="CC58" s="534"/>
      <c r="CD58" s="534"/>
      <c r="CE58" s="534"/>
      <c r="CF58" s="534"/>
      <c r="CG58" s="534"/>
      <c r="CH58" s="534"/>
      <c r="CI58" s="534"/>
      <c r="CJ58" s="534"/>
      <c r="CK58" s="534"/>
      <c r="CL58" s="534"/>
      <c r="CM58" s="534"/>
      <c r="CN58" s="534"/>
      <c r="CO58" s="534"/>
      <c r="CP58" s="534"/>
      <c r="CQ58" s="534"/>
      <c r="CR58" s="534"/>
      <c r="CS58" s="534"/>
      <c r="CT58" s="534"/>
    </row>
    <row r="59" spans="1:98" s="641" customFormat="1" ht="27" customHeight="1" x14ac:dyDescent="0.2">
      <c r="A59" s="1012" t="s">
        <v>61</v>
      </c>
      <c r="B59" s="981" t="s">
        <v>101</v>
      </c>
      <c r="C59" s="1701"/>
      <c r="D59" s="1702"/>
      <c r="E59" s="1702"/>
      <c r="F59" s="1702"/>
      <c r="G59" s="1702"/>
      <c r="H59" s="1702"/>
      <c r="I59" s="1702"/>
      <c r="J59" s="1702"/>
      <c r="K59" s="1702"/>
      <c r="L59" s="1703"/>
      <c r="M59" s="1703"/>
      <c r="N59" s="1704"/>
      <c r="O59" s="787"/>
    </row>
    <row r="60" spans="1:98" s="641" customFormat="1" ht="19.149999999999999" customHeight="1" x14ac:dyDescent="0.2">
      <c r="A60" s="1013"/>
      <c r="B60" s="976" t="s">
        <v>41</v>
      </c>
      <c r="C60" s="1004">
        <v>200</v>
      </c>
      <c r="D60" s="1004"/>
      <c r="E60" s="1004">
        <f>C60+D60</f>
        <v>200</v>
      </c>
      <c r="F60" s="1004"/>
      <c r="G60" s="1004">
        <f>E60+F60</f>
        <v>200</v>
      </c>
      <c r="H60" s="1004"/>
      <c r="I60" s="1004">
        <f>G60+H60</f>
        <v>200</v>
      </c>
      <c r="J60" s="1004"/>
      <c r="K60" s="1004">
        <f>I60+J60</f>
        <v>200</v>
      </c>
      <c r="L60" s="1004">
        <v>0</v>
      </c>
      <c r="M60" s="1004">
        <v>200</v>
      </c>
      <c r="N60" s="1005">
        <v>0</v>
      </c>
      <c r="O60" s="787">
        <f t="shared" si="0"/>
        <v>200</v>
      </c>
    </row>
    <row r="61" spans="1:98" s="641" customFormat="1" ht="21" customHeight="1" x14ac:dyDescent="0.2">
      <c r="A61" s="1013"/>
      <c r="B61" s="976" t="s">
        <v>309</v>
      </c>
      <c r="C61" s="1004">
        <v>50</v>
      </c>
      <c r="D61" s="1004"/>
      <c r="E61" s="1004">
        <f>C61+D61</f>
        <v>50</v>
      </c>
      <c r="F61" s="1004"/>
      <c r="G61" s="1004">
        <f>E61+F61</f>
        <v>50</v>
      </c>
      <c r="H61" s="1004"/>
      <c r="I61" s="1004">
        <f>G61+H61</f>
        <v>50</v>
      </c>
      <c r="J61" s="1004"/>
      <c r="K61" s="1004">
        <f>I61+J61</f>
        <v>50</v>
      </c>
      <c r="L61" s="1004">
        <v>0</v>
      </c>
      <c r="M61" s="1004">
        <v>50</v>
      </c>
      <c r="N61" s="1005">
        <v>0</v>
      </c>
      <c r="O61" s="787">
        <f t="shared" si="0"/>
        <v>50</v>
      </c>
    </row>
    <row r="62" spans="1:98" s="641" customFormat="1" ht="19.149999999999999" customHeight="1" x14ac:dyDescent="0.2">
      <c r="A62" s="1013"/>
      <c r="B62" s="976" t="s">
        <v>133</v>
      </c>
      <c r="C62" s="1004">
        <v>0</v>
      </c>
      <c r="D62" s="1004"/>
      <c r="E62" s="1004">
        <f>C62+D62</f>
        <v>0</v>
      </c>
      <c r="F62" s="1004"/>
      <c r="G62" s="1004">
        <f>E62+F62</f>
        <v>0</v>
      </c>
      <c r="H62" s="1004"/>
      <c r="I62" s="1004">
        <f>G62+H62</f>
        <v>0</v>
      </c>
      <c r="J62" s="1004"/>
      <c r="K62" s="1004">
        <f>I62+J62</f>
        <v>0</v>
      </c>
      <c r="L62" s="1004">
        <v>0</v>
      </c>
      <c r="M62" s="1004">
        <v>0</v>
      </c>
      <c r="N62" s="1005">
        <v>0</v>
      </c>
      <c r="O62" s="787">
        <f t="shared" si="0"/>
        <v>0</v>
      </c>
    </row>
    <row r="63" spans="1:98" s="641" customFormat="1" ht="19.149999999999999" customHeight="1" x14ac:dyDescent="0.2">
      <c r="A63" s="1013"/>
      <c r="B63" s="976" t="s">
        <v>43</v>
      </c>
      <c r="C63" s="1004">
        <v>0</v>
      </c>
      <c r="D63" s="1004"/>
      <c r="E63" s="1004">
        <f>C63+D63</f>
        <v>0</v>
      </c>
      <c r="F63" s="1004"/>
      <c r="G63" s="1004">
        <f>E63+F63</f>
        <v>0</v>
      </c>
      <c r="H63" s="1004"/>
      <c r="I63" s="1004">
        <f>G63+H63</f>
        <v>0</v>
      </c>
      <c r="J63" s="1004"/>
      <c r="K63" s="1004">
        <f>I63+J63</f>
        <v>0</v>
      </c>
      <c r="L63" s="1004">
        <v>0</v>
      </c>
      <c r="M63" s="1004">
        <v>0</v>
      </c>
      <c r="N63" s="1005">
        <v>0</v>
      </c>
      <c r="O63" s="787">
        <f t="shared" si="0"/>
        <v>0</v>
      </c>
    </row>
    <row r="64" spans="1:98" s="641" customFormat="1" ht="19.149999999999999" customHeight="1" x14ac:dyDescent="0.2">
      <c r="A64" s="1013"/>
      <c r="B64" s="976" t="s">
        <v>368</v>
      </c>
      <c r="C64" s="1004">
        <v>0</v>
      </c>
      <c r="D64" s="1004"/>
      <c r="E64" s="1004">
        <f>C64+D64</f>
        <v>0</v>
      </c>
      <c r="F64" s="1004"/>
      <c r="G64" s="1004">
        <f>E64+F64</f>
        <v>0</v>
      </c>
      <c r="H64" s="1004"/>
      <c r="I64" s="1004">
        <f>G64+H64</f>
        <v>0</v>
      </c>
      <c r="J64" s="1004"/>
      <c r="K64" s="1004">
        <f>I64+J64</f>
        <v>0</v>
      </c>
      <c r="L64" s="1004">
        <v>0</v>
      </c>
      <c r="M64" s="1004">
        <v>0</v>
      </c>
      <c r="N64" s="1005">
        <v>0</v>
      </c>
      <c r="O64" s="787">
        <f t="shared" si="0"/>
        <v>0</v>
      </c>
    </row>
    <row r="65" spans="1:114" s="636" customFormat="1" ht="21" customHeight="1" thickBot="1" x14ac:dyDescent="0.25">
      <c r="A65" s="1014"/>
      <c r="B65" s="979" t="s">
        <v>369</v>
      </c>
      <c r="C65" s="1010">
        <f t="shared" ref="C65:N65" si="12">SUM(C60:C64)</f>
        <v>250</v>
      </c>
      <c r="D65" s="1010">
        <f t="shared" si="12"/>
        <v>0</v>
      </c>
      <c r="E65" s="1010">
        <f t="shared" si="12"/>
        <v>250</v>
      </c>
      <c r="F65" s="1010">
        <f t="shared" si="12"/>
        <v>0</v>
      </c>
      <c r="G65" s="1010">
        <f t="shared" si="12"/>
        <v>250</v>
      </c>
      <c r="H65" s="1010">
        <f>SUM(H60:H64)</f>
        <v>0</v>
      </c>
      <c r="I65" s="1010">
        <f>SUM(I60:I64)</f>
        <v>250</v>
      </c>
      <c r="J65" s="1010">
        <f>SUM(J60:J64)</f>
        <v>0</v>
      </c>
      <c r="K65" s="1010">
        <f>SUM(K60:K64)</f>
        <v>250</v>
      </c>
      <c r="L65" s="1010">
        <f t="shared" si="12"/>
        <v>0</v>
      </c>
      <c r="M65" s="1010">
        <f t="shared" si="12"/>
        <v>250</v>
      </c>
      <c r="N65" s="1011">
        <f t="shared" si="12"/>
        <v>0</v>
      </c>
      <c r="O65" s="788">
        <f t="shared" si="0"/>
        <v>250</v>
      </c>
    </row>
    <row r="66" spans="1:114" s="535" customFormat="1" ht="31.15" customHeight="1" thickBot="1" x14ac:dyDescent="0.25">
      <c r="A66" s="997" t="s">
        <v>282</v>
      </c>
      <c r="B66" s="980" t="s">
        <v>102</v>
      </c>
      <c r="C66" s="1699"/>
      <c r="D66" s="1700"/>
      <c r="E66" s="1700"/>
      <c r="F66" s="1700"/>
      <c r="G66" s="1700"/>
      <c r="H66" s="1700"/>
      <c r="I66" s="1700"/>
      <c r="J66" s="1700"/>
      <c r="K66" s="1700"/>
      <c r="L66" s="1693"/>
      <c r="M66" s="1693"/>
      <c r="N66" s="1694"/>
      <c r="O66" s="787"/>
      <c r="P66" s="534"/>
      <c r="Q66" s="534"/>
      <c r="R66" s="534"/>
      <c r="S66" s="534"/>
      <c r="T66" s="534"/>
      <c r="U66" s="534"/>
      <c r="V66" s="534"/>
      <c r="W66" s="534"/>
      <c r="X66" s="534"/>
      <c r="Y66" s="534"/>
      <c r="Z66" s="534"/>
      <c r="AA66" s="534"/>
      <c r="AB66" s="534"/>
      <c r="AC66" s="534"/>
      <c r="AD66" s="534"/>
      <c r="AE66" s="534"/>
      <c r="AF66" s="534"/>
      <c r="AG66" s="534"/>
      <c r="AH66" s="534"/>
      <c r="AI66" s="534"/>
      <c r="AJ66" s="534"/>
      <c r="AK66" s="534"/>
      <c r="AL66" s="534"/>
      <c r="AM66" s="534"/>
      <c r="AN66" s="534"/>
      <c r="AO66" s="534"/>
      <c r="AP66" s="534"/>
      <c r="AQ66" s="534"/>
      <c r="AR66" s="534"/>
      <c r="AS66" s="534"/>
      <c r="AT66" s="534"/>
      <c r="AU66" s="534"/>
      <c r="AV66" s="534"/>
      <c r="AW66" s="534"/>
      <c r="AX66" s="534"/>
      <c r="AY66" s="534"/>
      <c r="AZ66" s="534"/>
      <c r="BA66" s="534"/>
      <c r="BB66" s="534"/>
      <c r="BC66" s="534"/>
      <c r="BD66" s="534"/>
      <c r="BE66" s="534"/>
      <c r="BF66" s="534"/>
      <c r="BG66" s="534"/>
      <c r="BH66" s="534"/>
      <c r="BI66" s="534"/>
      <c r="BJ66" s="534"/>
      <c r="BK66" s="534"/>
      <c r="BL66" s="534"/>
      <c r="BM66" s="534"/>
      <c r="BN66" s="534"/>
      <c r="BO66" s="534"/>
      <c r="BP66" s="534"/>
      <c r="BQ66" s="534"/>
      <c r="BR66" s="534"/>
      <c r="BS66" s="534"/>
      <c r="BT66" s="534"/>
      <c r="BU66" s="534"/>
      <c r="BV66" s="534"/>
      <c r="BW66" s="534"/>
      <c r="BX66" s="534"/>
      <c r="BY66" s="534"/>
      <c r="BZ66" s="534"/>
      <c r="CA66" s="534"/>
      <c r="CB66" s="534"/>
      <c r="CC66" s="534"/>
      <c r="CD66" s="534"/>
      <c r="CE66" s="534"/>
      <c r="CF66" s="534"/>
      <c r="CG66" s="534"/>
      <c r="CH66" s="534"/>
      <c r="CI66" s="534"/>
      <c r="CJ66" s="534"/>
      <c r="CK66" s="534"/>
      <c r="CL66" s="534"/>
      <c r="CM66" s="534"/>
      <c r="CN66" s="534"/>
      <c r="CO66" s="534"/>
      <c r="CP66" s="534"/>
      <c r="CQ66" s="534"/>
      <c r="CR66" s="534"/>
      <c r="CS66" s="534"/>
      <c r="CT66" s="534"/>
      <c r="CU66" s="534"/>
      <c r="CV66" s="534"/>
      <c r="CW66" s="534"/>
      <c r="CX66" s="534"/>
      <c r="CY66" s="534"/>
      <c r="CZ66" s="534"/>
      <c r="DA66" s="534"/>
      <c r="DB66" s="534"/>
      <c r="DC66" s="534"/>
      <c r="DD66" s="534"/>
      <c r="DE66" s="534"/>
      <c r="DF66" s="534"/>
      <c r="DG66" s="534"/>
      <c r="DH66" s="534"/>
      <c r="DI66" s="534"/>
      <c r="DJ66" s="534"/>
    </row>
    <row r="67" spans="1:114" s="531" customFormat="1" ht="27" customHeight="1" x14ac:dyDescent="0.2">
      <c r="A67" s="1008" t="s">
        <v>61</v>
      </c>
      <c r="B67" s="983" t="s">
        <v>105</v>
      </c>
      <c r="C67" s="1695"/>
      <c r="D67" s="1696"/>
      <c r="E67" s="1696"/>
      <c r="F67" s="1696"/>
      <c r="G67" s="1696"/>
      <c r="H67" s="1696"/>
      <c r="I67" s="1696"/>
      <c r="J67" s="1696"/>
      <c r="K67" s="1696"/>
      <c r="L67" s="1697"/>
      <c r="M67" s="1697"/>
      <c r="N67" s="1698"/>
      <c r="O67" s="787"/>
    </row>
    <row r="68" spans="1:114" s="531" customFormat="1" ht="19.149999999999999" customHeight="1" x14ac:dyDescent="0.2">
      <c r="A68" s="1015"/>
      <c r="B68" s="976" t="s">
        <v>41</v>
      </c>
      <c r="C68" s="1004">
        <v>130</v>
      </c>
      <c r="D68" s="1004"/>
      <c r="E68" s="1004">
        <f>C68+D68</f>
        <v>130</v>
      </c>
      <c r="F68" s="1004"/>
      <c r="G68" s="1004">
        <f>E68+F68</f>
        <v>130</v>
      </c>
      <c r="H68" s="1004"/>
      <c r="I68" s="1004">
        <f>G68+H68</f>
        <v>130</v>
      </c>
      <c r="J68" s="1004">
        <v>82</v>
      </c>
      <c r="K68" s="1004">
        <f>I68+J68</f>
        <v>212</v>
      </c>
      <c r="L68" s="1004">
        <v>212</v>
      </c>
      <c r="M68" s="1004">
        <v>0</v>
      </c>
      <c r="N68" s="1005">
        <v>0</v>
      </c>
      <c r="O68" s="787">
        <f t="shared" ref="O68:O93" si="13">L68+M68+N68</f>
        <v>212</v>
      </c>
    </row>
    <row r="69" spans="1:114" s="531" customFormat="1" ht="21" customHeight="1" x14ac:dyDescent="0.2">
      <c r="A69" s="1015"/>
      <c r="B69" s="976" t="s">
        <v>309</v>
      </c>
      <c r="C69" s="1004">
        <v>32</v>
      </c>
      <c r="D69" s="1004"/>
      <c r="E69" s="1004">
        <f>C69+D69</f>
        <v>32</v>
      </c>
      <c r="F69" s="1004"/>
      <c r="G69" s="1004">
        <f>E69+F69</f>
        <v>32</v>
      </c>
      <c r="H69" s="1004"/>
      <c r="I69" s="1004">
        <f>G69+H69</f>
        <v>32</v>
      </c>
      <c r="J69" s="1004"/>
      <c r="K69" s="1004">
        <f>I69+J69</f>
        <v>32</v>
      </c>
      <c r="L69" s="1004">
        <v>32</v>
      </c>
      <c r="M69" s="1004">
        <v>0</v>
      </c>
      <c r="N69" s="1005">
        <v>0</v>
      </c>
      <c r="O69" s="787">
        <f t="shared" si="13"/>
        <v>32</v>
      </c>
    </row>
    <row r="70" spans="1:114" s="531" customFormat="1" ht="19.149999999999999" customHeight="1" x14ac:dyDescent="0.2">
      <c r="A70" s="1015"/>
      <c r="B70" s="976" t="s">
        <v>133</v>
      </c>
      <c r="C70" s="1004">
        <v>500</v>
      </c>
      <c r="D70" s="1004"/>
      <c r="E70" s="1004">
        <f>C70+D70</f>
        <v>500</v>
      </c>
      <c r="F70" s="1004"/>
      <c r="G70" s="1004">
        <f>E70+F70</f>
        <v>500</v>
      </c>
      <c r="H70" s="1004"/>
      <c r="I70" s="1004">
        <f>G70+H70</f>
        <v>500</v>
      </c>
      <c r="J70" s="1004"/>
      <c r="K70" s="1004">
        <f>I70+J70</f>
        <v>500</v>
      </c>
      <c r="L70" s="1004">
        <v>500</v>
      </c>
      <c r="M70" s="1004">
        <v>0</v>
      </c>
      <c r="N70" s="1005">
        <v>0</v>
      </c>
      <c r="O70" s="787">
        <f t="shared" si="13"/>
        <v>500</v>
      </c>
    </row>
    <row r="71" spans="1:114" s="531" customFormat="1" ht="19.149999999999999" customHeight="1" x14ac:dyDescent="0.2">
      <c r="A71" s="1015"/>
      <c r="B71" s="976" t="s">
        <v>43</v>
      </c>
      <c r="C71" s="1004">
        <v>0</v>
      </c>
      <c r="D71" s="1004"/>
      <c r="E71" s="1004">
        <f>C71+D71</f>
        <v>0</v>
      </c>
      <c r="F71" s="1004"/>
      <c r="G71" s="1004">
        <f>E71+F71</f>
        <v>0</v>
      </c>
      <c r="H71" s="1004"/>
      <c r="I71" s="1004">
        <f>G71+H71</f>
        <v>0</v>
      </c>
      <c r="J71" s="1004"/>
      <c r="K71" s="1004">
        <f>I71+J71</f>
        <v>0</v>
      </c>
      <c r="L71" s="1004">
        <v>0</v>
      </c>
      <c r="M71" s="1004">
        <v>0</v>
      </c>
      <c r="N71" s="1005">
        <v>0</v>
      </c>
      <c r="O71" s="787">
        <f t="shared" si="13"/>
        <v>0</v>
      </c>
    </row>
    <row r="72" spans="1:114" s="531" customFormat="1" ht="19.149999999999999" customHeight="1" x14ac:dyDescent="0.2">
      <c r="A72" s="1015"/>
      <c r="B72" s="976" t="s">
        <v>368</v>
      </c>
      <c r="C72" s="1004">
        <v>0</v>
      </c>
      <c r="D72" s="1004"/>
      <c r="E72" s="1004">
        <f>C72+D72</f>
        <v>0</v>
      </c>
      <c r="F72" s="1004"/>
      <c r="G72" s="1004">
        <f>E72+F72</f>
        <v>0</v>
      </c>
      <c r="H72" s="1004"/>
      <c r="I72" s="1004">
        <f>G72+H72</f>
        <v>0</v>
      </c>
      <c r="J72" s="1004"/>
      <c r="K72" s="1004">
        <f>I72+J72</f>
        <v>0</v>
      </c>
      <c r="L72" s="1004">
        <v>0</v>
      </c>
      <c r="M72" s="1004">
        <v>0</v>
      </c>
      <c r="N72" s="1005">
        <v>0</v>
      </c>
      <c r="O72" s="787">
        <f t="shared" si="13"/>
        <v>0</v>
      </c>
    </row>
    <row r="73" spans="1:114" s="533" customFormat="1" ht="21" customHeight="1" x14ac:dyDescent="0.2">
      <c r="A73" s="1016"/>
      <c r="B73" s="977" t="s">
        <v>369</v>
      </c>
      <c r="C73" s="1006">
        <f t="shared" ref="C73:K73" si="14">SUM(C68:C72)</f>
        <v>662</v>
      </c>
      <c r="D73" s="1006">
        <f t="shared" si="14"/>
        <v>0</v>
      </c>
      <c r="E73" s="1006">
        <f t="shared" si="14"/>
        <v>662</v>
      </c>
      <c r="F73" s="1006">
        <f t="shared" si="14"/>
        <v>0</v>
      </c>
      <c r="G73" s="1006">
        <f t="shared" si="14"/>
        <v>662</v>
      </c>
      <c r="H73" s="1006">
        <f t="shared" si="14"/>
        <v>0</v>
      </c>
      <c r="I73" s="1006">
        <f t="shared" si="14"/>
        <v>662</v>
      </c>
      <c r="J73" s="1006">
        <f t="shared" si="14"/>
        <v>82</v>
      </c>
      <c r="K73" s="1006">
        <f t="shared" si="14"/>
        <v>744</v>
      </c>
      <c r="L73" s="1006">
        <f>SUM( L68:L72 L68:L72)</f>
        <v>744</v>
      </c>
      <c r="M73" s="1006">
        <f>SUM( M68:M72 M68:M72)</f>
        <v>0</v>
      </c>
      <c r="N73" s="1007">
        <f>SUM( N68:N72 N68:N72)</f>
        <v>0</v>
      </c>
      <c r="O73" s="788">
        <f t="shared" si="13"/>
        <v>744</v>
      </c>
    </row>
    <row r="74" spans="1:114" s="531" customFormat="1" ht="29.45" customHeight="1" x14ac:dyDescent="0.2">
      <c r="A74" s="993" t="s">
        <v>62</v>
      </c>
      <c r="B74" s="978" t="s">
        <v>520</v>
      </c>
      <c r="C74" s="1705"/>
      <c r="D74" s="1706"/>
      <c r="E74" s="1706"/>
      <c r="F74" s="1706"/>
      <c r="G74" s="1706"/>
      <c r="H74" s="1706"/>
      <c r="I74" s="1706"/>
      <c r="J74" s="1706"/>
      <c r="K74" s="1706"/>
      <c r="L74" s="1707"/>
      <c r="M74" s="1707"/>
      <c r="N74" s="1708"/>
      <c r="O74" s="787"/>
    </row>
    <row r="75" spans="1:114" s="531" customFormat="1" ht="19.149999999999999" customHeight="1" x14ac:dyDescent="0.2">
      <c r="A75" s="1015"/>
      <c r="B75" s="976" t="s">
        <v>41</v>
      </c>
      <c r="C75" s="1004">
        <v>1658</v>
      </c>
      <c r="D75" s="1004"/>
      <c r="E75" s="1004">
        <v>0</v>
      </c>
      <c r="F75" s="1004"/>
      <c r="G75" s="1004">
        <f>E75+F75</f>
        <v>0</v>
      </c>
      <c r="H75" s="1004"/>
      <c r="I75" s="1004">
        <f>G75+H75</f>
        <v>0</v>
      </c>
      <c r="J75" s="1004"/>
      <c r="K75" s="1004">
        <f>I75+J75</f>
        <v>0</v>
      </c>
      <c r="L75" s="1004">
        <v>0</v>
      </c>
      <c r="M75" s="1004">
        <v>0</v>
      </c>
      <c r="N75" s="1005">
        <v>0</v>
      </c>
      <c r="O75" s="787">
        <f t="shared" si="13"/>
        <v>0</v>
      </c>
    </row>
    <row r="76" spans="1:114" s="531" customFormat="1" ht="21" customHeight="1" x14ac:dyDescent="0.2">
      <c r="A76" s="1015"/>
      <c r="B76" s="976" t="s">
        <v>309</v>
      </c>
      <c r="C76" s="1004">
        <v>447</v>
      </c>
      <c r="D76" s="1004"/>
      <c r="E76" s="1004">
        <v>0</v>
      </c>
      <c r="F76" s="1004"/>
      <c r="G76" s="1004">
        <f>E76+F76</f>
        <v>0</v>
      </c>
      <c r="H76" s="1004"/>
      <c r="I76" s="1004">
        <f>G76+H76</f>
        <v>0</v>
      </c>
      <c r="J76" s="1004"/>
      <c r="K76" s="1004">
        <f>I76+J76</f>
        <v>0</v>
      </c>
      <c r="L76" s="1004">
        <v>0</v>
      </c>
      <c r="M76" s="1004">
        <v>0</v>
      </c>
      <c r="N76" s="1005">
        <v>0</v>
      </c>
      <c r="O76" s="787">
        <f t="shared" si="13"/>
        <v>0</v>
      </c>
    </row>
    <row r="77" spans="1:114" s="531" customFormat="1" ht="19.149999999999999" customHeight="1" x14ac:dyDescent="0.2">
      <c r="A77" s="1015"/>
      <c r="B77" s="976" t="s">
        <v>133</v>
      </c>
      <c r="C77" s="1004">
        <v>37395</v>
      </c>
      <c r="D77" s="1004"/>
      <c r="E77" s="1004">
        <v>0</v>
      </c>
      <c r="F77" s="1004"/>
      <c r="G77" s="1004">
        <f>E77+F77</f>
        <v>0</v>
      </c>
      <c r="H77" s="1004"/>
      <c r="I77" s="1004">
        <f>G77+H77</f>
        <v>0</v>
      </c>
      <c r="J77" s="1004"/>
      <c r="K77" s="1004">
        <f>I77+J77</f>
        <v>0</v>
      </c>
      <c r="L77" s="1004">
        <v>0</v>
      </c>
      <c r="M77" s="1004">
        <v>0</v>
      </c>
      <c r="N77" s="1005">
        <v>0</v>
      </c>
      <c r="O77" s="787">
        <f t="shared" si="13"/>
        <v>0</v>
      </c>
    </row>
    <row r="78" spans="1:114" s="531" customFormat="1" ht="19.149999999999999" customHeight="1" x14ac:dyDescent="0.2">
      <c r="A78" s="1015"/>
      <c r="B78" s="976" t="s">
        <v>43</v>
      </c>
      <c r="C78" s="1004">
        <v>0</v>
      </c>
      <c r="D78" s="1004"/>
      <c r="E78" s="1004">
        <f>C78+D78</f>
        <v>0</v>
      </c>
      <c r="F78" s="1004"/>
      <c r="G78" s="1004">
        <f>E78+F78</f>
        <v>0</v>
      </c>
      <c r="H78" s="1004"/>
      <c r="I78" s="1004">
        <f>G78+H78</f>
        <v>0</v>
      </c>
      <c r="J78" s="1004"/>
      <c r="K78" s="1004">
        <f>I78+J78</f>
        <v>0</v>
      </c>
      <c r="L78" s="1004">
        <v>0</v>
      </c>
      <c r="M78" s="1004">
        <f>C78</f>
        <v>0</v>
      </c>
      <c r="N78" s="1005">
        <v>0</v>
      </c>
      <c r="O78" s="787">
        <f t="shared" si="13"/>
        <v>0</v>
      </c>
    </row>
    <row r="79" spans="1:114" s="531" customFormat="1" ht="19.149999999999999" customHeight="1" x14ac:dyDescent="0.2">
      <c r="A79" s="1015"/>
      <c r="B79" s="976" t="s">
        <v>368</v>
      </c>
      <c r="C79" s="1004">
        <v>0</v>
      </c>
      <c r="D79" s="1004"/>
      <c r="E79" s="1004">
        <f>C79+D79</f>
        <v>0</v>
      </c>
      <c r="F79" s="1004"/>
      <c r="G79" s="1004">
        <f>E79+F79</f>
        <v>0</v>
      </c>
      <c r="H79" s="1004"/>
      <c r="I79" s="1004">
        <f>G79+H79</f>
        <v>0</v>
      </c>
      <c r="J79" s="1004"/>
      <c r="K79" s="1004">
        <f>I79+J79</f>
        <v>0</v>
      </c>
      <c r="L79" s="1004">
        <v>0</v>
      </c>
      <c r="M79" s="1004">
        <f>C79</f>
        <v>0</v>
      </c>
      <c r="N79" s="1005">
        <v>0</v>
      </c>
      <c r="O79" s="787">
        <f t="shared" si="13"/>
        <v>0</v>
      </c>
    </row>
    <row r="80" spans="1:114" s="533" customFormat="1" ht="21" customHeight="1" thickBot="1" x14ac:dyDescent="0.25">
      <c r="A80" s="1017"/>
      <c r="B80" s="982" t="s">
        <v>369</v>
      </c>
      <c r="C80" s="1018">
        <f t="shared" ref="C80:L80" si="15">SUM(C75:C79)</f>
        <v>39500</v>
      </c>
      <c r="D80" s="1018">
        <f t="shared" si="15"/>
        <v>0</v>
      </c>
      <c r="E80" s="1018">
        <f t="shared" si="15"/>
        <v>0</v>
      </c>
      <c r="F80" s="1018">
        <f t="shared" si="15"/>
        <v>0</v>
      </c>
      <c r="G80" s="1018">
        <f t="shared" si="15"/>
        <v>0</v>
      </c>
      <c r="H80" s="1018">
        <f>SUM(H75:H79)</f>
        <v>0</v>
      </c>
      <c r="I80" s="1018">
        <f>SUM(I75:I79)</f>
        <v>0</v>
      </c>
      <c r="J80" s="1018">
        <f>SUM(J75:J79)</f>
        <v>0</v>
      </c>
      <c r="K80" s="1018">
        <f>SUM(K75:K79)</f>
        <v>0</v>
      </c>
      <c r="L80" s="1018">
        <f t="shared" si="15"/>
        <v>0</v>
      </c>
      <c r="M80" s="1006">
        <v>0</v>
      </c>
      <c r="N80" s="1019">
        <f>SUM(N75:N79)</f>
        <v>0</v>
      </c>
      <c r="O80" s="788">
        <f t="shared" si="13"/>
        <v>0</v>
      </c>
    </row>
    <row r="81" spans="1:17" s="532" customFormat="1" ht="33" customHeight="1" thickBot="1" x14ac:dyDescent="0.25">
      <c r="A81" s="1685" t="s">
        <v>109</v>
      </c>
      <c r="B81" s="1686"/>
      <c r="C81" s="1691"/>
      <c r="D81" s="1692"/>
      <c r="E81" s="1692"/>
      <c r="F81" s="1692"/>
      <c r="G81" s="1692"/>
      <c r="H81" s="1692"/>
      <c r="I81" s="1692"/>
      <c r="J81" s="1692"/>
      <c r="K81" s="1692"/>
      <c r="L81" s="1693"/>
      <c r="M81" s="1693"/>
      <c r="N81" s="1694"/>
      <c r="O81" s="787"/>
    </row>
    <row r="82" spans="1:17" s="531" customFormat="1" ht="21" customHeight="1" x14ac:dyDescent="0.2">
      <c r="A82" s="1020"/>
      <c r="B82" s="984" t="s">
        <v>41</v>
      </c>
      <c r="C82" s="1021">
        <f t="shared" ref="C82:M87" si="16">C5+C12+C20+C28++C35+C43+C52+C60+C68+C75</f>
        <v>255728</v>
      </c>
      <c r="D82" s="1021">
        <f t="shared" si="16"/>
        <v>17438</v>
      </c>
      <c r="E82" s="1021">
        <f t="shared" si="16"/>
        <v>271842</v>
      </c>
      <c r="F82" s="1021">
        <f t="shared" si="16"/>
        <v>19355</v>
      </c>
      <c r="G82" s="1021">
        <f t="shared" si="16"/>
        <v>291197</v>
      </c>
      <c r="H82" s="1021">
        <f t="shared" ref="H82:K87" si="17">H5+H12+H20+H28+H35+H43+H52+H60+H68+H75</f>
        <v>-64</v>
      </c>
      <c r="I82" s="1021">
        <f t="shared" si="17"/>
        <v>291133</v>
      </c>
      <c r="J82" s="1021">
        <f t="shared" si="17"/>
        <v>53</v>
      </c>
      <c r="K82" s="1021">
        <f>K5+K12+K20+K28+K35+K43+K52+K60+K68+K75</f>
        <v>291186</v>
      </c>
      <c r="L82" s="1021">
        <f>L5+L12+L20+L28+L35+L43+L52+L60+L68+L75</f>
        <v>213311.75</v>
      </c>
      <c r="M82" s="1021">
        <f>M5+M12+M20+M28+M35+M43+M52+M60+M68+M75</f>
        <v>77874</v>
      </c>
      <c r="N82" s="1022">
        <f>N5+N12+N20+N28+N35+N43+N52+N60+N68</f>
        <v>0</v>
      </c>
      <c r="O82" s="787">
        <f t="shared" si="13"/>
        <v>291185.75</v>
      </c>
    </row>
    <row r="83" spans="1:17" s="531" customFormat="1" ht="21" customHeight="1" x14ac:dyDescent="0.2">
      <c r="A83" s="987"/>
      <c r="B83" s="976" t="s">
        <v>309</v>
      </c>
      <c r="C83" s="999">
        <f t="shared" si="16"/>
        <v>75263</v>
      </c>
      <c r="D83" s="999">
        <f t="shared" si="16"/>
        <v>9257</v>
      </c>
      <c r="E83" s="999">
        <f t="shared" si="16"/>
        <v>84137</v>
      </c>
      <c r="F83" s="999">
        <f t="shared" si="16"/>
        <v>724</v>
      </c>
      <c r="G83" s="999">
        <f t="shared" si="16"/>
        <v>84861</v>
      </c>
      <c r="H83" s="999">
        <f t="shared" si="17"/>
        <v>-72</v>
      </c>
      <c r="I83" s="999">
        <f t="shared" si="17"/>
        <v>84789</v>
      </c>
      <c r="J83" s="999">
        <f t="shared" si="17"/>
        <v>-61</v>
      </c>
      <c r="K83" s="1021">
        <f t="shared" si="17"/>
        <v>84728</v>
      </c>
      <c r="L83" s="999">
        <f t="shared" si="16"/>
        <v>62495</v>
      </c>
      <c r="M83" s="999">
        <f t="shared" si="16"/>
        <v>22233</v>
      </c>
      <c r="N83" s="1000">
        <f>N6+N13+N21+N29+N36+N44+N53+N61+N69</f>
        <v>0</v>
      </c>
      <c r="O83" s="787">
        <f t="shared" si="13"/>
        <v>84728</v>
      </c>
    </row>
    <row r="84" spans="1:17" s="531" customFormat="1" ht="21" customHeight="1" x14ac:dyDescent="0.2">
      <c r="A84" s="987"/>
      <c r="B84" s="976" t="s">
        <v>133</v>
      </c>
      <c r="C84" s="999">
        <f t="shared" si="16"/>
        <v>155690</v>
      </c>
      <c r="D84" s="999">
        <f t="shared" si="16"/>
        <v>33950</v>
      </c>
      <c r="E84" s="999">
        <f t="shared" si="16"/>
        <v>153610</v>
      </c>
      <c r="F84" s="999">
        <f t="shared" si="16"/>
        <v>3682</v>
      </c>
      <c r="G84" s="999">
        <f t="shared" si="16"/>
        <v>157292</v>
      </c>
      <c r="H84" s="999">
        <f t="shared" si="17"/>
        <v>-2200</v>
      </c>
      <c r="I84" s="999">
        <f t="shared" si="17"/>
        <v>155092</v>
      </c>
      <c r="J84" s="999">
        <f t="shared" si="17"/>
        <v>965</v>
      </c>
      <c r="K84" s="1021">
        <f t="shared" si="17"/>
        <v>156057</v>
      </c>
      <c r="L84" s="999">
        <f t="shared" si="16"/>
        <v>118052.5</v>
      </c>
      <c r="M84" s="999">
        <f t="shared" si="16"/>
        <v>38004.5</v>
      </c>
      <c r="N84" s="1000">
        <f>N7+N14+N22+N30+N37+N45+N54+N62+N70</f>
        <v>0</v>
      </c>
      <c r="O84" s="787">
        <f t="shared" si="13"/>
        <v>156057</v>
      </c>
    </row>
    <row r="85" spans="1:17" s="531" customFormat="1" ht="21" customHeight="1" x14ac:dyDescent="0.2">
      <c r="A85" s="987"/>
      <c r="B85" s="976" t="s">
        <v>43</v>
      </c>
      <c r="C85" s="999">
        <f t="shared" si="16"/>
        <v>387600</v>
      </c>
      <c r="D85" s="999">
        <f t="shared" si="16"/>
        <v>0</v>
      </c>
      <c r="E85" s="999">
        <f t="shared" si="16"/>
        <v>387600</v>
      </c>
      <c r="F85" s="999">
        <f t="shared" si="16"/>
        <v>0</v>
      </c>
      <c r="G85" s="999">
        <f t="shared" si="16"/>
        <v>387600</v>
      </c>
      <c r="H85" s="999">
        <f t="shared" si="17"/>
        <v>-145000</v>
      </c>
      <c r="I85" s="999">
        <f>I8+I15+I23+I31+I38+I46+I55+I63+I71+I78</f>
        <v>392600</v>
      </c>
      <c r="J85" s="999">
        <f t="shared" si="17"/>
        <v>-20000</v>
      </c>
      <c r="K85" s="1021">
        <f>K8+K15+K23+K31+K38+K46+K55+K63+K71+K78</f>
        <v>372600</v>
      </c>
      <c r="L85" s="999">
        <f t="shared" si="16"/>
        <v>308412</v>
      </c>
      <c r="M85" s="999">
        <f t="shared" si="16"/>
        <v>64188</v>
      </c>
      <c r="N85" s="1000">
        <f>N8+N15+N23+N31+N38+N46+N55+N63+N71</f>
        <v>0</v>
      </c>
      <c r="O85" s="787">
        <f t="shared" si="13"/>
        <v>372600</v>
      </c>
    </row>
    <row r="86" spans="1:17" s="531" customFormat="1" ht="21" customHeight="1" thickBot="1" x14ac:dyDescent="0.25">
      <c r="A86" s="1023"/>
      <c r="B86" s="985" t="s">
        <v>368</v>
      </c>
      <c r="C86" s="1024">
        <f t="shared" si="16"/>
        <v>47100</v>
      </c>
      <c r="D86" s="1024">
        <f t="shared" si="16"/>
        <v>-47100</v>
      </c>
      <c r="E86" s="1024">
        <f t="shared" si="16"/>
        <v>0</v>
      </c>
      <c r="F86" s="1024">
        <f t="shared" si="16"/>
        <v>0</v>
      </c>
      <c r="G86" s="1024">
        <f t="shared" si="16"/>
        <v>0</v>
      </c>
      <c r="H86" s="1024">
        <f t="shared" si="17"/>
        <v>0</v>
      </c>
      <c r="I86" s="1024">
        <f t="shared" si="17"/>
        <v>0</v>
      </c>
      <c r="J86" s="1024">
        <f t="shared" si="17"/>
        <v>0</v>
      </c>
      <c r="K86" s="1024">
        <f t="shared" si="17"/>
        <v>0</v>
      </c>
      <c r="L86" s="1024">
        <f t="shared" si="16"/>
        <v>0</v>
      </c>
      <c r="M86" s="1024">
        <f t="shared" si="16"/>
        <v>0</v>
      </c>
      <c r="N86" s="1025">
        <f>N9+N16+N24+N32+N39+N47+N56+N64+N72</f>
        <v>0</v>
      </c>
      <c r="O86" s="787">
        <f t="shared" si="13"/>
        <v>0</v>
      </c>
    </row>
    <row r="87" spans="1:17" s="531" customFormat="1" ht="33" customHeight="1" thickBot="1" x14ac:dyDescent="0.25">
      <c r="A87" s="1683" t="s">
        <v>369</v>
      </c>
      <c r="B87" s="1684"/>
      <c r="C87" s="1026">
        <f t="shared" si="16"/>
        <v>921381</v>
      </c>
      <c r="D87" s="1026">
        <f t="shared" si="16"/>
        <v>13545</v>
      </c>
      <c r="E87" s="1026">
        <f t="shared" si="16"/>
        <v>897189</v>
      </c>
      <c r="F87" s="1026">
        <f t="shared" si="16"/>
        <v>23761</v>
      </c>
      <c r="G87" s="1026">
        <f t="shared" si="16"/>
        <v>920950</v>
      </c>
      <c r="H87" s="1026">
        <f t="shared" si="17"/>
        <v>-147336</v>
      </c>
      <c r="I87" s="1026">
        <f>I10+I17+I25+I33+I40+I48+I57+I65+I73+I80</f>
        <v>923614</v>
      </c>
      <c r="J87" s="1026">
        <f t="shared" si="17"/>
        <v>-19043</v>
      </c>
      <c r="K87" s="1026">
        <f>K10+K17+K25+K33+K40+K48+K57+K65+K73+K80</f>
        <v>904571</v>
      </c>
      <c r="L87" s="1026">
        <f>L10+L17+L25+L33++L40+L48+L57+L65+L73+L80</f>
        <v>702271.25</v>
      </c>
      <c r="M87" s="1026">
        <f>M10+M17+M25+M33++M40+M48+M57+M65+M73+M80</f>
        <v>202299.5</v>
      </c>
      <c r="N87" s="1027">
        <f>N10+N17+N25+N33++N40+N48+N57+N65+N73</f>
        <v>0</v>
      </c>
      <c r="O87" s="787">
        <f t="shared" si="13"/>
        <v>904570.75</v>
      </c>
    </row>
    <row r="88" spans="1:17" s="531" customFormat="1" ht="21" customHeight="1" x14ac:dyDescent="0.2">
      <c r="A88" s="1020"/>
      <c r="B88" s="984" t="s">
        <v>370</v>
      </c>
      <c r="C88" s="1021">
        <f>'10'!C53</f>
        <v>6000</v>
      </c>
      <c r="D88" s="1021">
        <f>'10'!D53</f>
        <v>6179</v>
      </c>
      <c r="E88" s="1021">
        <f>'10'!E53</f>
        <v>12179</v>
      </c>
      <c r="F88" s="1021">
        <f>'10'!F53</f>
        <v>0</v>
      </c>
      <c r="G88" s="1021">
        <f>'10'!G53</f>
        <v>12179</v>
      </c>
      <c r="H88" s="1021">
        <f>'10'!H53</f>
        <v>13260</v>
      </c>
      <c r="I88" s="1021">
        <f>'10'!I53</f>
        <v>25439</v>
      </c>
      <c r="J88" s="1021">
        <f>'10'!J53</f>
        <v>0</v>
      </c>
      <c r="K88" s="1021">
        <f>'10'!K53</f>
        <v>25439</v>
      </c>
      <c r="L88" s="1021">
        <f>'10'!L53</f>
        <v>11279</v>
      </c>
      <c r="M88" s="1021">
        <f>'10'!M53</f>
        <v>14160</v>
      </c>
      <c r="N88" s="1022">
        <f>'10'!N53</f>
        <v>0</v>
      </c>
      <c r="O88" s="787">
        <f t="shared" si="13"/>
        <v>25439</v>
      </c>
    </row>
    <row r="89" spans="1:17" s="531" customFormat="1" ht="21" customHeight="1" x14ac:dyDescent="0.2">
      <c r="A89" s="987"/>
      <c r="B89" s="976" t="s">
        <v>55</v>
      </c>
      <c r="C89" s="999">
        <f>'10'!C84</f>
        <v>4000</v>
      </c>
      <c r="D89" s="999">
        <f>'10'!D84</f>
        <v>26151</v>
      </c>
      <c r="E89" s="999">
        <f>'10'!E84</f>
        <v>30151</v>
      </c>
      <c r="F89" s="999">
        <f>'10'!F84</f>
        <v>0</v>
      </c>
      <c r="G89" s="999">
        <f>'10'!G84</f>
        <v>30151</v>
      </c>
      <c r="H89" s="999">
        <f>'10'!H84</f>
        <v>-3100</v>
      </c>
      <c r="I89" s="999">
        <f>'10'!I84</f>
        <v>27051</v>
      </c>
      <c r="J89" s="999">
        <f>'10'!J84</f>
        <v>-1890</v>
      </c>
      <c r="K89" s="999">
        <f>'10'!K84</f>
        <v>25161</v>
      </c>
      <c r="L89" s="999">
        <f>'10'!L84</f>
        <v>18870.75</v>
      </c>
      <c r="M89" s="999">
        <f>'10'!M84</f>
        <v>6290.25</v>
      </c>
      <c r="N89" s="1000">
        <f>'10'!N84</f>
        <v>0</v>
      </c>
      <c r="O89" s="787">
        <f t="shared" si="13"/>
        <v>25161</v>
      </c>
    </row>
    <row r="90" spans="1:17" s="531" customFormat="1" ht="21" customHeight="1" x14ac:dyDescent="0.2">
      <c r="A90" s="987"/>
      <c r="B90" s="976" t="s">
        <v>371</v>
      </c>
      <c r="C90" s="999">
        <f t="shared" ref="C90:L90" si="18">C49</f>
        <v>21000</v>
      </c>
      <c r="D90" s="999">
        <f t="shared" si="18"/>
        <v>-17000</v>
      </c>
      <c r="E90" s="999">
        <f t="shared" si="18"/>
        <v>4000</v>
      </c>
      <c r="F90" s="999">
        <f t="shared" si="18"/>
        <v>0</v>
      </c>
      <c r="G90" s="999">
        <f t="shared" si="18"/>
        <v>4000</v>
      </c>
      <c r="H90" s="999">
        <f>H49</f>
        <v>0</v>
      </c>
      <c r="I90" s="999">
        <f>I49</f>
        <v>4000</v>
      </c>
      <c r="J90" s="999">
        <f>J49</f>
        <v>0</v>
      </c>
      <c r="K90" s="999">
        <f>K49</f>
        <v>4000</v>
      </c>
      <c r="L90" s="999">
        <f t="shared" si="18"/>
        <v>0</v>
      </c>
      <c r="M90" s="999">
        <v>4000</v>
      </c>
      <c r="N90" s="1000">
        <f>N49</f>
        <v>0</v>
      </c>
      <c r="O90" s="787">
        <f t="shared" si="13"/>
        <v>4000</v>
      </c>
    </row>
    <row r="91" spans="1:17" s="531" customFormat="1" ht="33" customHeight="1" x14ac:dyDescent="0.2">
      <c r="A91" s="1681" t="s">
        <v>372</v>
      </c>
      <c r="B91" s="1682"/>
      <c r="C91" s="1028">
        <f>C88+C89+C90</f>
        <v>31000</v>
      </c>
      <c r="D91" s="1028">
        <f>SUM(D88:D90)</f>
        <v>15330</v>
      </c>
      <c r="E91" s="1028">
        <f>E88+E89+E90</f>
        <v>46330</v>
      </c>
      <c r="F91" s="1028">
        <f>F88+F89+F90</f>
        <v>0</v>
      </c>
      <c r="G91" s="1028">
        <f>G88+G89+G90</f>
        <v>46330</v>
      </c>
      <c r="H91" s="1028">
        <f>SUM(H88:H90)</f>
        <v>10160</v>
      </c>
      <c r="I91" s="1028">
        <f>SUM(I88:I90)</f>
        <v>56490</v>
      </c>
      <c r="J91" s="1028">
        <f>SUM(J88:J90)</f>
        <v>-1890</v>
      </c>
      <c r="K91" s="1028">
        <f>SUM(K88:K90)</f>
        <v>54600</v>
      </c>
      <c r="L91" s="1028">
        <f>L88+L89</f>
        <v>30149.75</v>
      </c>
      <c r="M91" s="1028">
        <f>M88+M89+M90</f>
        <v>24450.25</v>
      </c>
      <c r="N91" s="1029">
        <f>N50</f>
        <v>0</v>
      </c>
      <c r="O91" s="787">
        <f t="shared" si="13"/>
        <v>54600</v>
      </c>
    </row>
    <row r="92" spans="1:17" s="531" customFormat="1" ht="21" customHeight="1" thickBot="1" x14ac:dyDescent="0.25">
      <c r="A92" s="1023"/>
      <c r="B92" s="985" t="s">
        <v>139</v>
      </c>
      <c r="C92" s="1024">
        <v>0</v>
      </c>
      <c r="D92" s="1024"/>
      <c r="E92" s="1024"/>
      <c r="F92" s="1024"/>
      <c r="G92" s="1024"/>
      <c r="H92" s="1024"/>
      <c r="I92" s="1024"/>
      <c r="J92" s="1024"/>
      <c r="K92" s="1024"/>
      <c r="L92" s="1024">
        <v>0</v>
      </c>
      <c r="M92" s="1024">
        <v>0</v>
      </c>
      <c r="N92" s="1025">
        <f>N11+N18+N26+N34+N41+N51+N58+N66+N81</f>
        <v>0</v>
      </c>
      <c r="O92" s="787">
        <f t="shared" si="13"/>
        <v>0</v>
      </c>
    </row>
    <row r="93" spans="1:17" s="532" customFormat="1" ht="33" customHeight="1" thickBot="1" x14ac:dyDescent="0.25">
      <c r="A93" s="1030"/>
      <c r="B93" s="986" t="s">
        <v>134</v>
      </c>
      <c r="C93" s="1031">
        <f t="shared" ref="C93:M93" si="19">C87+C91+C92</f>
        <v>952381</v>
      </c>
      <c r="D93" s="1031">
        <f t="shared" si="19"/>
        <v>28875</v>
      </c>
      <c r="E93" s="1031">
        <f t="shared" si="19"/>
        <v>943519</v>
      </c>
      <c r="F93" s="1031">
        <f t="shared" si="19"/>
        <v>23761</v>
      </c>
      <c r="G93" s="1031">
        <f t="shared" si="19"/>
        <v>967280</v>
      </c>
      <c r="H93" s="1031">
        <f>H87+H91+H92</f>
        <v>-137176</v>
      </c>
      <c r="I93" s="1031">
        <f>I87+I91+I92</f>
        <v>980104</v>
      </c>
      <c r="J93" s="1031">
        <f>J87+J91+J92</f>
        <v>-20933</v>
      </c>
      <c r="K93" s="1031">
        <f>K87+K91+K92</f>
        <v>959171</v>
      </c>
      <c r="L93" s="1031">
        <f t="shared" si="19"/>
        <v>732421</v>
      </c>
      <c r="M93" s="1031">
        <f t="shared" si="19"/>
        <v>226749.75</v>
      </c>
      <c r="N93" s="1032"/>
      <c r="O93" s="787">
        <f t="shared" si="13"/>
        <v>959170.75</v>
      </c>
      <c r="Q93" s="789"/>
    </row>
    <row r="94" spans="1:17" s="106" customFormat="1" ht="17.25" customHeight="1" x14ac:dyDescent="0.2">
      <c r="A94" s="96"/>
      <c r="B94" s="130"/>
      <c r="C94" s="131"/>
      <c r="D94" s="131"/>
      <c r="E94" s="131"/>
      <c r="F94" s="131"/>
      <c r="G94" s="131"/>
      <c r="H94" s="131"/>
      <c r="I94" s="131"/>
      <c r="J94" s="131"/>
      <c r="K94" s="131"/>
      <c r="L94" s="132"/>
      <c r="M94" s="132"/>
      <c r="N94" s="132"/>
    </row>
    <row r="95" spans="1:17" s="106" customFormat="1" ht="17.25" customHeight="1" x14ac:dyDescent="0.2">
      <c r="A95" s="96"/>
      <c r="B95" s="133"/>
      <c r="C95" s="132" t="s">
        <v>99</v>
      </c>
      <c r="D95" s="132"/>
      <c r="E95" s="132"/>
      <c r="F95" s="132"/>
      <c r="G95" s="132"/>
      <c r="H95" s="132"/>
      <c r="I95" s="132"/>
      <c r="J95" s="132"/>
      <c r="K95" s="132"/>
      <c r="L95" s="132" t="s">
        <v>99</v>
      </c>
      <c r="M95" s="132" t="s">
        <v>99</v>
      </c>
    </row>
    <row r="96" spans="1:17" s="106" customFormat="1" ht="17.25" customHeight="1" x14ac:dyDescent="0.2">
      <c r="A96" s="96"/>
      <c r="B96" s="133"/>
      <c r="C96" s="132">
        <f>C93-'6'!C29</f>
        <v>0</v>
      </c>
      <c r="D96" s="132" t="e">
        <f>D93-'6'!D29</f>
        <v>#REF!</v>
      </c>
      <c r="E96" s="132">
        <f>E93-'6'!E29</f>
        <v>-37737</v>
      </c>
      <c r="F96" s="132"/>
      <c r="G96" s="132" t="s">
        <v>99</v>
      </c>
      <c r="H96" s="132"/>
      <c r="I96" s="132"/>
      <c r="J96" s="132"/>
      <c r="K96" s="132"/>
      <c r="L96" s="132"/>
      <c r="M96" s="132"/>
      <c r="N96" s="132"/>
    </row>
    <row r="97" spans="1:14" ht="18.75" customHeight="1" x14ac:dyDescent="0.2">
      <c r="B97" s="130"/>
    </row>
    <row r="98" spans="1:14" ht="18.75" customHeight="1" x14ac:dyDescent="0.2"/>
    <row r="99" spans="1:14" ht="18.75" customHeight="1" x14ac:dyDescent="0.2"/>
    <row r="100" spans="1:14" ht="18.75" customHeight="1" x14ac:dyDescent="0.2"/>
    <row r="101" spans="1:14" ht="18.75" customHeight="1" x14ac:dyDescent="0.2"/>
    <row r="102" spans="1:14" ht="18.75" customHeight="1" x14ac:dyDescent="0.2">
      <c r="B102" s="130"/>
    </row>
    <row r="103" spans="1:14" s="106" customFormat="1" ht="51.75" customHeight="1" x14ac:dyDescent="0.2">
      <c r="A103" s="96"/>
      <c r="B103" s="137"/>
      <c r="C103" s="131"/>
      <c r="D103" s="131"/>
      <c r="E103" s="131"/>
      <c r="F103" s="131"/>
      <c r="G103" s="131"/>
      <c r="H103" s="131"/>
      <c r="I103" s="131"/>
      <c r="J103" s="131"/>
      <c r="K103" s="131"/>
      <c r="L103" s="132"/>
      <c r="M103" s="132"/>
      <c r="N103" s="132"/>
    </row>
    <row r="104" spans="1:14" ht="27" customHeight="1" x14ac:dyDescent="0.2"/>
    <row r="105" spans="1:14" ht="18.75" customHeight="1" x14ac:dyDescent="0.2"/>
    <row r="106" spans="1:14" ht="18.75" customHeight="1" x14ac:dyDescent="0.2"/>
  </sheetData>
  <mergeCells count="21">
    <mergeCell ref="C19:N19"/>
    <mergeCell ref="A1:N1"/>
    <mergeCell ref="C3:N3"/>
    <mergeCell ref="C67:N67"/>
    <mergeCell ref="C74:N74"/>
    <mergeCell ref="A91:B91"/>
    <mergeCell ref="A87:B87"/>
    <mergeCell ref="A81:B81"/>
    <mergeCell ref="C4:N4"/>
    <mergeCell ref="C81:N81"/>
    <mergeCell ref="C51:N51"/>
    <mergeCell ref="C58:N58"/>
    <mergeCell ref="C59:N59"/>
    <mergeCell ref="C66:N66"/>
    <mergeCell ref="C26:N26"/>
    <mergeCell ref="C27:N27"/>
    <mergeCell ref="C34:N34"/>
    <mergeCell ref="C42:N42"/>
    <mergeCell ref="C41:N41"/>
    <mergeCell ref="C11:N11"/>
    <mergeCell ref="C18:N18"/>
  </mergeCells>
  <phoneticPr fontId="28" type="noConversion"/>
  <printOptions horizontalCentered="1"/>
  <pageMargins left="0.59055118110236227" right="0.59055118110236227" top="0.78740157480314965" bottom="0.78740157480314965" header="0.51181102362204722" footer="0.51181102362204722"/>
  <pageSetup paperSize="9" scale="58" fitToHeight="0" orientation="portrait" r:id="rId1"/>
  <headerFooter alignWithMargins="0">
    <oddHeader>&amp;L&amp;"Arial,Dőlt"&amp;12 &amp;U9. melléklet a 3/2014. (II.15.) önkormányzati rendelethez</oddHeader>
    <oddFooter>&amp;C&amp;14 Nagykőrös Város Önkormányzat 2014. évi költségvetési rendeletének V. sz. módosítása</oddFooter>
  </headerFooter>
  <rowBreaks count="1" manualBreakCount="1">
    <brk id="5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23</vt:i4>
      </vt:variant>
      <vt:variant>
        <vt:lpstr>Névvel ellátott tartományok</vt:lpstr>
      </vt:variant>
      <vt:variant>
        <vt:i4>26</vt:i4>
      </vt:variant>
    </vt:vector>
  </HeadingPairs>
  <TitlesOfParts>
    <vt:vector size="4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t1</vt:lpstr>
      <vt:lpstr>t2</vt:lpstr>
      <vt:lpstr>t3</vt:lpstr>
      <vt:lpstr>t4</vt:lpstr>
      <vt:lpstr>Munka2</vt:lpstr>
      <vt:lpstr>'12'!Nyomtatási_cím</vt:lpstr>
      <vt:lpstr>'4'!Nyomtatási_cím</vt:lpstr>
      <vt:lpstr>'5'!Nyomtatási_cím</vt:lpstr>
      <vt:lpstr>'7'!Nyomtatási_cím</vt:lpstr>
      <vt:lpstr>'8'!Nyomtatási_cím</vt:lpstr>
      <vt:lpstr>'9'!Nyomtatási_cím</vt:lpstr>
      <vt:lpstr>'10'!Nyomtatási_terület</vt:lpstr>
      <vt:lpstr>'11'!Nyomtatási_terület</vt:lpstr>
      <vt:lpstr>'12'!Nyomtatási_terület</vt:lpstr>
      <vt:lpstr>'13'!Nyomtatási_terület</vt:lpstr>
      <vt:lpstr>'14'!Nyomtatási_terület</vt:lpstr>
      <vt:lpstr>'15'!Nyomtatási_terület</vt:lpstr>
      <vt:lpstr>'16'!Nyomtatási_terület</vt:lpstr>
      <vt:lpstr>'17'!Nyomtatási_terület</vt:lpstr>
      <vt:lpstr>'2'!Nyomtatási_terület</vt:lpstr>
      <vt:lpstr>'3'!Nyomtatási_terület</vt:lpstr>
      <vt:lpstr>'4'!Nyomtatási_terület</vt:lpstr>
      <vt:lpstr>'5'!Nyomtatási_terület</vt:lpstr>
      <vt:lpstr>'6'!Nyomtatási_terület</vt:lpstr>
      <vt:lpstr>'7'!Nyomtatási_terület</vt:lpstr>
      <vt:lpstr>'8'!Nyomtatási_terület</vt:lpstr>
      <vt:lpstr>'9'!Nyomtatási_terület</vt:lpstr>
      <vt:lpstr>'t1'!Nyomtatási_terület</vt:lpstr>
      <vt:lpstr>'t2'!Nyomtatási_terület</vt:lpstr>
      <vt:lpstr>'t3'!Nyomtatási_terület</vt:lpstr>
      <vt:lpstr>'t4'!Nyomtatási_terület</vt:lpstr>
    </vt:vector>
  </TitlesOfParts>
  <Company>Pohi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Péter</dc:creator>
  <cp:lastModifiedBy>Dr Ecsedi Viktória</cp:lastModifiedBy>
  <cp:lastPrinted>2015-02-11T14:52:58Z</cp:lastPrinted>
  <dcterms:created xsi:type="dcterms:W3CDTF">2009-11-18T16:00:30Z</dcterms:created>
  <dcterms:modified xsi:type="dcterms:W3CDTF">2015-02-18T14:32:35Z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-9967459</vt:i4>
  </property>
  <property fmtid="{D5CDD505-2E9C-101B-9397-08002B2CF9AE}" pid="3" name="_EmailSubject">
    <vt:lpwstr>2010</vt:lpwstr>
  </property>
  <property fmtid="{D5CDD505-2E9C-101B-9397-08002B2CF9AE}" pid="4" name="_AuthorEmail">
    <vt:lpwstr>kiss-peter@nagykoros.hu</vt:lpwstr>
  </property>
  <property fmtid="{D5CDD505-2E9C-101B-9397-08002B2CF9AE}" pid="5" name="_AuthorEmailDisplayName">
    <vt:lpwstr>Polgármesteri Hivatal Nagykőrös Pénzügyi Irodavezető</vt:lpwstr>
  </property>
  <property fmtid="{D5CDD505-2E9C-101B-9397-08002B2CF9AE}" pid="6" name="_ReviewingToolsShownOnce">
    <vt:lpwstr/>
  </property>
</Properties>
</file>