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5200" windowHeight="11985" tabRatio="601" activeTab="23"/>
  </bookViews>
  <sheets>
    <sheet name="1" sheetId="28" r:id="rId1"/>
    <sheet name="2" sheetId="2" r:id="rId2"/>
    <sheet name="3" sheetId="41" r:id="rId3"/>
    <sheet name="4" sheetId="7" r:id="rId4"/>
    <sheet name="5" sheetId="5" r:id="rId5"/>
    <sheet name="6" sheetId="30" r:id="rId6"/>
    <sheet name="7" sheetId="6" r:id="rId7"/>
    <sheet name="8" sheetId="1" r:id="rId8"/>
    <sheet name="9" sheetId="32" r:id="rId9"/>
    <sheet name="10" sheetId="11" r:id="rId10"/>
    <sheet name="11" sheetId="29" r:id="rId11"/>
    <sheet name="12" sheetId="10" r:id="rId12"/>
    <sheet name="13" sheetId="4" r:id="rId13"/>
    <sheet name="14" sheetId="13" r:id="rId14"/>
    <sheet name="15" sheetId="35" r:id="rId15"/>
    <sheet name="16" sheetId="12" r:id="rId16"/>
    <sheet name="17" sheetId="43" r:id="rId17"/>
    <sheet name="Kts.vetési mérleg" sheetId="42" state="hidden" r:id="rId18"/>
    <sheet name="18" sheetId="17" r:id="rId19"/>
    <sheet name="19" sheetId="34" r:id="rId20"/>
    <sheet name="20" sheetId="16" r:id="rId21"/>
    <sheet name="Munka2" sheetId="44" state="hidden" r:id="rId22"/>
    <sheet name="21" sheetId="45" r:id="rId23"/>
    <sheet name="22" sheetId="46" r:id="rId24"/>
  </sheets>
  <definedNames>
    <definedName name="_xlnm._FilterDatabase" localSheetId="4" hidden="1">'5'!$A$2:$V$160</definedName>
    <definedName name="_xlnm.Print_Titles" localSheetId="11">'12'!$2:$4</definedName>
    <definedName name="_xlnm.Print_Titles" localSheetId="3">'4'!$1:$2</definedName>
    <definedName name="_xlnm.Print_Titles" localSheetId="4">'5'!$1:$2</definedName>
    <definedName name="_xlnm.Print_Titles" localSheetId="6">'7'!$1:$2</definedName>
    <definedName name="_xlnm.Print_Titles" localSheetId="7">'8'!$1:$2</definedName>
    <definedName name="_xlnm.Print_Titles" localSheetId="8">'9'!$1:$2</definedName>
    <definedName name="_xlnm.Print_Area" localSheetId="9">'10'!$A$1:$P$85</definedName>
    <definedName name="_xlnm.Print_Area" localSheetId="10">'11'!$A$1:$J$138</definedName>
    <definedName name="_xlnm.Print_Area" localSheetId="11">'12'!$A$1:$N$27</definedName>
    <definedName name="_xlnm.Print_Area" localSheetId="12">'13'!$A$1:$E$17</definedName>
    <definedName name="_xlnm.Print_Area" localSheetId="13">'14'!$A$1:$V$13</definedName>
    <definedName name="_xlnm.Print_Area" localSheetId="14">'15'!$A$1:$T$12</definedName>
    <definedName name="_xlnm.Print_Area" localSheetId="15">'16'!$A$1:$J$62</definedName>
    <definedName name="_xlnm.Print_Area" localSheetId="18">'18'!$A$1:$O$28</definedName>
    <definedName name="_xlnm.Print_Area" localSheetId="19">'19'!$A$1:$G$79</definedName>
    <definedName name="_xlnm.Print_Area" localSheetId="1">'2'!$A$1:$AA$21</definedName>
    <definedName name="_xlnm.Print_Area" localSheetId="20">'20'!$A$1:$N$22</definedName>
    <definedName name="_xlnm.Print_Area" localSheetId="2">'3'!$A$2:$AD$25</definedName>
    <definedName name="_xlnm.Print_Area" localSheetId="3">'4'!$A$1:$R$171</definedName>
    <definedName name="_xlnm.Print_Area" localSheetId="4">'5'!$A$1:$P$160</definedName>
    <definedName name="_xlnm.Print_Area" localSheetId="5">'6'!$A$1:$R$29</definedName>
    <definedName name="_xlnm.Print_Area" localSheetId="6">'7'!$A$1:$R$184</definedName>
    <definedName name="_xlnm.Print_Area" localSheetId="7">'8'!$A$1:$P$198</definedName>
    <definedName name="_xlnm.Print_Area" localSheetId="8">'9'!$A$1:$P$93</definedName>
    <definedName name="_xlnm.Print_Area" localSheetId="17">'Kts.vetési mérleg'!$A$1:$T$23</definedName>
  </definedNames>
  <calcPr calcId="152511"/>
</workbook>
</file>

<file path=xl/calcChain.xml><?xml version="1.0" encoding="utf-8"?>
<calcChain xmlns="http://schemas.openxmlformats.org/spreadsheetml/2006/main">
  <c r="M84" i="7"/>
  <c r="J19" i="41"/>
  <c r="O13" i="17"/>
  <c r="O27"/>
  <c r="O12"/>
  <c r="O16" s="1"/>
  <c r="O22" i="43"/>
  <c r="O23"/>
  <c r="O24"/>
  <c r="N21"/>
  <c r="N19"/>
  <c r="O19"/>
  <c r="N18"/>
  <c r="N17"/>
  <c r="N16"/>
  <c r="N12"/>
  <c r="N8"/>
  <c r="N6"/>
  <c r="M179" i="6" l="1"/>
  <c r="K18" i="11"/>
  <c r="K11"/>
  <c r="K12"/>
  <c r="M35" i="7" l="1"/>
  <c r="M155"/>
  <c r="M119"/>
  <c r="M71"/>
  <c r="M72"/>
  <c r="M59"/>
  <c r="M62"/>
  <c r="B21" i="2"/>
  <c r="Y6" i="41" l="1"/>
  <c r="Z7" i="2"/>
  <c r="L4"/>
  <c r="K6" i="41"/>
  <c r="L131" i="5" l="1"/>
  <c r="L72"/>
  <c r="L6"/>
  <c r="L123"/>
  <c r="L121" s="1"/>
  <c r="L153"/>
  <c r="M159"/>
  <c r="L15"/>
  <c r="L14"/>
  <c r="L17"/>
  <c r="L31"/>
  <c r="L50"/>
  <c r="L56"/>
  <c r="L53" s="1"/>
  <c r="L48"/>
  <c r="L95"/>
  <c r="L13"/>
  <c r="L7" i="1" l="1"/>
  <c r="L43"/>
  <c r="L68"/>
  <c r="L37" l="1"/>
  <c r="L189"/>
  <c r="L94"/>
  <c r="L80"/>
  <c r="L79"/>
  <c r="D7" i="4" l="1"/>
  <c r="D17" s="1"/>
  <c r="E189" i="1" l="1"/>
  <c r="C168" i="7" l="1"/>
  <c r="F168"/>
  <c r="L32" i="11" l="1"/>
  <c r="L39" i="5" l="1"/>
  <c r="L45" i="32" l="1"/>
  <c r="L43"/>
  <c r="L46" i="11"/>
  <c r="L85" i="32"/>
  <c r="L84" i="11"/>
  <c r="L44" i="32"/>
  <c r="L7"/>
  <c r="L87" i="5"/>
  <c r="N13" i="30"/>
  <c r="L48" i="32" l="1"/>
  <c r="L89"/>
  <c r="L84" l="1"/>
  <c r="N9" i="6" l="1"/>
  <c r="N23" i="7"/>
  <c r="U12" l="1"/>
  <c r="N11"/>
  <c r="N14" s="1"/>
  <c r="D25" i="45" l="1"/>
  <c r="C25"/>
  <c r="D16"/>
  <c r="C16"/>
  <c r="L44" i="11" l="1"/>
  <c r="L64" l="1"/>
  <c r="L71" l="1"/>
  <c r="N169" i="7"/>
  <c r="C45" i="12" l="1"/>
  <c r="J17" i="10" l="1"/>
  <c r="L23" i="5" l="1"/>
  <c r="L16" l="1"/>
  <c r="L53" i="32"/>
  <c r="L52"/>
  <c r="L81" i="1" l="1"/>
  <c r="L187" l="1"/>
  <c r="L95"/>
  <c r="L35"/>
  <c r="L185" s="1"/>
  <c r="L79" i="5" l="1"/>
  <c r="N84" i="6" l="1"/>
  <c r="N160" i="7" l="1"/>
  <c r="N13" i="6"/>
  <c r="N26" l="1"/>
  <c r="N48"/>
  <c r="N65"/>
  <c r="L6" i="32" l="1"/>
  <c r="L5"/>
  <c r="L10" l="1"/>
  <c r="L82"/>
  <c r="N22" i="6"/>
  <c r="N35" l="1"/>
  <c r="N61"/>
  <c r="N67" s="1"/>
  <c r="N12" i="30" l="1"/>
  <c r="N17"/>
  <c r="N10" l="1"/>
  <c r="I21" i="42"/>
  <c r="I20"/>
  <c r="K23" i="41"/>
  <c r="M18" i="16" l="1"/>
  <c r="M13"/>
  <c r="M8"/>
  <c r="I19" i="42"/>
  <c r="P12" i="35"/>
  <c r="R13" i="13"/>
  <c r="J20" i="10"/>
  <c r="J7"/>
  <c r="J5" s="1"/>
  <c r="M22" i="16" l="1"/>
  <c r="J27" i="10"/>
  <c r="L79" i="11" l="1"/>
  <c r="L192" i="1" s="1"/>
  <c r="L53" i="11"/>
  <c r="L42"/>
  <c r="I6"/>
  <c r="J14"/>
  <c r="J11" s="1"/>
  <c r="J18" s="1"/>
  <c r="I23"/>
  <c r="I40"/>
  <c r="I41"/>
  <c r="J42"/>
  <c r="J45"/>
  <c r="J53" s="1"/>
  <c r="I47"/>
  <c r="J58"/>
  <c r="J59"/>
  <c r="J64"/>
  <c r="J79"/>
  <c r="I83"/>
  <c r="J84"/>
  <c r="J85" s="1"/>
  <c r="L80" i="32"/>
  <c r="L73"/>
  <c r="L65"/>
  <c r="L57"/>
  <c r="L50"/>
  <c r="L40"/>
  <c r="L33"/>
  <c r="L25"/>
  <c r="L17"/>
  <c r="L86"/>
  <c r="L83"/>
  <c r="L90"/>
  <c r="M50"/>
  <c r="L9" i="1"/>
  <c r="L186"/>
  <c r="L190" s="1"/>
  <c r="L188"/>
  <c r="L183"/>
  <c r="L177"/>
  <c r="L171"/>
  <c r="L165"/>
  <c r="L159"/>
  <c r="L153"/>
  <c r="L147"/>
  <c r="L140"/>
  <c r="L134"/>
  <c r="L128"/>
  <c r="L122"/>
  <c r="L115"/>
  <c r="L109"/>
  <c r="L102"/>
  <c r="L89"/>
  <c r="L83"/>
  <c r="L76"/>
  <c r="L70"/>
  <c r="L63"/>
  <c r="L57"/>
  <c r="L51"/>
  <c r="L45"/>
  <c r="L39"/>
  <c r="L33"/>
  <c r="L27"/>
  <c r="L21"/>
  <c r="L15"/>
  <c r="N92" i="6"/>
  <c r="N183" s="1"/>
  <c r="N89"/>
  <c r="N90"/>
  <c r="N88"/>
  <c r="N83"/>
  <c r="N174" s="1"/>
  <c r="N175"/>
  <c r="Z9" i="41" s="1"/>
  <c r="N85" i="6"/>
  <c r="N176" s="1"/>
  <c r="N86"/>
  <c r="N177" s="1"/>
  <c r="N82"/>
  <c r="N169"/>
  <c r="N165"/>
  <c r="N156"/>
  <c r="N152"/>
  <c r="N143"/>
  <c r="N139"/>
  <c r="N130"/>
  <c r="N126"/>
  <c r="N117"/>
  <c r="N113"/>
  <c r="N104"/>
  <c r="N100"/>
  <c r="N78"/>
  <c r="N74"/>
  <c r="N52"/>
  <c r="N54" s="1"/>
  <c r="N39"/>
  <c r="N41" s="1"/>
  <c r="N25" i="30"/>
  <c r="N6"/>
  <c r="M44" i="5"/>
  <c r="M102"/>
  <c r="L149"/>
  <c r="L145"/>
  <c r="L140"/>
  <c r="L137"/>
  <c r="L134"/>
  <c r="L129"/>
  <c r="L117"/>
  <c r="L105"/>
  <c r="L98"/>
  <c r="L91"/>
  <c r="L84"/>
  <c r="L78"/>
  <c r="L70"/>
  <c r="L33"/>
  <c r="N155" i="7"/>
  <c r="N143"/>
  <c r="N131"/>
  <c r="N134" s="1"/>
  <c r="N119"/>
  <c r="N122" s="1"/>
  <c r="N107"/>
  <c r="N110" s="1"/>
  <c r="N95"/>
  <c r="N98" s="1"/>
  <c r="N83"/>
  <c r="N86" s="1"/>
  <c r="N71"/>
  <c r="N74" s="1"/>
  <c r="N59"/>
  <c r="N62" s="1"/>
  <c r="N47"/>
  <c r="N50" s="1"/>
  <c r="N35"/>
  <c r="N38" s="1"/>
  <c r="N168"/>
  <c r="N166"/>
  <c r="N165"/>
  <c r="N164"/>
  <c r="N163"/>
  <c r="N162"/>
  <c r="N161"/>
  <c r="N26"/>
  <c r="K21" i="41"/>
  <c r="L10" i="2"/>
  <c r="L4" i="5" l="1"/>
  <c r="L3" s="1"/>
  <c r="L191" i="1"/>
  <c r="L194" s="1"/>
  <c r="N179" i="6"/>
  <c r="N91"/>
  <c r="L18" i="11"/>
  <c r="N24" i="30"/>
  <c r="N173" i="6"/>
  <c r="N87"/>
  <c r="N93" s="1"/>
  <c r="L119" i="5"/>
  <c r="L139"/>
  <c r="L69"/>
  <c r="L88" i="32"/>
  <c r="N5" i="30"/>
  <c r="L87" i="32"/>
  <c r="S7" i="42"/>
  <c r="S6"/>
  <c r="N28" i="6"/>
  <c r="Z10" i="41"/>
  <c r="S8" i="42"/>
  <c r="N146" i="7"/>
  <c r="N15" i="6"/>
  <c r="N158" i="7"/>
  <c r="N80" i="6"/>
  <c r="N119"/>
  <c r="N145"/>
  <c r="N171"/>
  <c r="N182"/>
  <c r="N180"/>
  <c r="N106"/>
  <c r="N132"/>
  <c r="N158"/>
  <c r="N181"/>
  <c r="J54" i="11"/>
  <c r="L144" i="5"/>
  <c r="L128"/>
  <c r="L83"/>
  <c r="N167" i="7"/>
  <c r="N170" s="1"/>
  <c r="Y4" i="2"/>
  <c r="Y10"/>
  <c r="L17"/>
  <c r="L14"/>
  <c r="L16" s="1"/>
  <c r="L97" i="5" l="1"/>
  <c r="I7" i="42" s="1"/>
  <c r="L54" i="11"/>
  <c r="I8" i="42"/>
  <c r="L91" i="32"/>
  <c r="N29" i="30"/>
  <c r="N184" i="6"/>
  <c r="Z15" i="41"/>
  <c r="S13" i="42"/>
  <c r="I6"/>
  <c r="S5"/>
  <c r="K12" i="41"/>
  <c r="Z11"/>
  <c r="S9" i="42"/>
  <c r="L20" i="2"/>
  <c r="L85" i="11"/>
  <c r="N178" i="6"/>
  <c r="Y14" i="2"/>
  <c r="M10" i="35"/>
  <c r="I10" i="42" l="1"/>
  <c r="S4"/>
  <c r="K16" i="41"/>
  <c r="Z6"/>
  <c r="J127" i="5"/>
  <c r="L197" i="1" l="1"/>
  <c r="L160" i="5"/>
  <c r="I5" i="42"/>
  <c r="I4" s="1"/>
  <c r="I14" s="1"/>
  <c r="I18" s="1"/>
  <c r="I22" s="1"/>
  <c r="K20" i="41"/>
  <c r="K24" s="1"/>
  <c r="L16" i="30"/>
  <c r="L198" i="1" l="1"/>
  <c r="J50" i="5"/>
  <c r="N105"/>
  <c r="O105"/>
  <c r="J37" i="1"/>
  <c r="N17" i="5" l="1"/>
  <c r="J17"/>
  <c r="O187" i="1" l="1"/>
  <c r="J107" i="5"/>
  <c r="J88"/>
  <c r="L122" i="6"/>
  <c r="L121"/>
  <c r="L77" i="7"/>
  <c r="L78"/>
  <c r="J51" i="5"/>
  <c r="J16"/>
  <c r="J149"/>
  <c r="J197" i="1"/>
  <c r="W15" i="2" s="1"/>
  <c r="J98" i="5"/>
  <c r="J70"/>
  <c r="J53"/>
  <c r="J39"/>
  <c r="J33"/>
  <c r="J13"/>
  <c r="J5"/>
  <c r="L25" i="7"/>
  <c r="J90" i="32"/>
  <c r="J114" i="5"/>
  <c r="J113"/>
  <c r="G142"/>
  <c r="I142" s="1"/>
  <c r="K142" s="1"/>
  <c r="M142" s="1"/>
  <c r="O11" i="11"/>
  <c r="L85" i="6"/>
  <c r="L86"/>
  <c r="L89"/>
  <c r="L90"/>
  <c r="L92"/>
  <c r="Q82"/>
  <c r="J105" i="5" l="1"/>
  <c r="O149"/>
  <c r="N53" i="11"/>
  <c r="O53"/>
  <c r="O171" i="1"/>
  <c r="J95" i="5"/>
  <c r="J91" s="1"/>
  <c r="J89"/>
  <c r="J87" s="1"/>
  <c r="J86"/>
  <c r="J85"/>
  <c r="L64" i="7"/>
  <c r="L52"/>
  <c r="L40"/>
  <c r="L28"/>
  <c r="L4"/>
  <c r="L124"/>
  <c r="L76" s="1"/>
  <c r="L162" i="6"/>
  <c r="L97"/>
  <c r="L127"/>
  <c r="L88" s="1"/>
  <c r="L161"/>
  <c r="L160"/>
  <c r="L148"/>
  <c r="L147"/>
  <c r="L110"/>
  <c r="L109"/>
  <c r="L108"/>
  <c r="L71"/>
  <c r="L70"/>
  <c r="L69"/>
  <c r="L57"/>
  <c r="L43"/>
  <c r="L31" i="7"/>
  <c r="L32" i="6"/>
  <c r="L31"/>
  <c r="L30"/>
  <c r="L17"/>
  <c r="L5"/>
  <c r="L4"/>
  <c r="L6"/>
  <c r="L28" i="30"/>
  <c r="K103" i="5"/>
  <c r="M103" s="1"/>
  <c r="J157" i="1"/>
  <c r="J187" s="1"/>
  <c r="K110" i="5"/>
  <c r="M110" s="1"/>
  <c r="J43" i="32"/>
  <c r="J48" s="1"/>
  <c r="L18" i="6"/>
  <c r="Z13" i="41" l="1"/>
  <c r="S11" i="42"/>
  <c r="L83" i="6"/>
  <c r="L160" i="7"/>
  <c r="L82" i="6"/>
  <c r="L84"/>
  <c r="J84" i="5"/>
  <c r="J83" s="1"/>
  <c r="L6" i="30"/>
  <c r="L5" s="1"/>
  <c r="N70" i="5" l="1"/>
  <c r="K77"/>
  <c r="M77" s="1"/>
  <c r="K76"/>
  <c r="M76" s="1"/>
  <c r="K75"/>
  <c r="M75" s="1"/>
  <c r="N48"/>
  <c r="J48"/>
  <c r="J4" s="1"/>
  <c r="J3" s="1"/>
  <c r="J5" i="2" s="1"/>
  <c r="K52" i="5"/>
  <c r="M52" s="1"/>
  <c r="G51"/>
  <c r="K51" s="1"/>
  <c r="M51" s="1"/>
  <c r="G50"/>
  <c r="K50" s="1"/>
  <c r="M50" s="1"/>
  <c r="E12"/>
  <c r="G12" s="1"/>
  <c r="I12" s="1"/>
  <c r="K12" s="1"/>
  <c r="M12" s="1"/>
  <c r="I23" i="41" l="1"/>
  <c r="I22"/>
  <c r="I19"/>
  <c r="J19" i="2"/>
  <c r="J18"/>
  <c r="J17" l="1"/>
  <c r="I21" i="41"/>
  <c r="K52" i="11"/>
  <c r="M52" s="1"/>
  <c r="K51"/>
  <c r="M51" s="1"/>
  <c r="K50"/>
  <c r="M50" s="1"/>
  <c r="K49"/>
  <c r="M49" s="1"/>
  <c r="K48"/>
  <c r="M48" s="1"/>
  <c r="J89" i="32"/>
  <c r="J192" i="1"/>
  <c r="L181" i="6"/>
  <c r="L180"/>
  <c r="L179"/>
  <c r="L169"/>
  <c r="L165"/>
  <c r="L156"/>
  <c r="L152"/>
  <c r="L143"/>
  <c r="L139"/>
  <c r="L130"/>
  <c r="L126"/>
  <c r="L117"/>
  <c r="L113"/>
  <c r="L104"/>
  <c r="L100"/>
  <c r="L177"/>
  <c r="L176"/>
  <c r="L175"/>
  <c r="L174"/>
  <c r="L173"/>
  <c r="L78"/>
  <c r="L74"/>
  <c r="L65"/>
  <c r="L61"/>
  <c r="L52"/>
  <c r="L48"/>
  <c r="L39"/>
  <c r="L35"/>
  <c r="L26"/>
  <c r="L22"/>
  <c r="L13"/>
  <c r="L9"/>
  <c r="J191" i="1"/>
  <c r="J186"/>
  <c r="J185"/>
  <c r="J183"/>
  <c r="J177"/>
  <c r="J171"/>
  <c r="J165"/>
  <c r="J159"/>
  <c r="J153"/>
  <c r="J147"/>
  <c r="J140"/>
  <c r="J134"/>
  <c r="J128"/>
  <c r="J122"/>
  <c r="J115"/>
  <c r="J109"/>
  <c r="J102"/>
  <c r="J89"/>
  <c r="J83"/>
  <c r="J76"/>
  <c r="J70"/>
  <c r="J63"/>
  <c r="J57"/>
  <c r="J51"/>
  <c r="J45"/>
  <c r="J39"/>
  <c r="J33"/>
  <c r="J27"/>
  <c r="J21"/>
  <c r="J15"/>
  <c r="J9"/>
  <c r="I19" i="10"/>
  <c r="K19" s="1"/>
  <c r="H20"/>
  <c r="J193" i="1" s="1"/>
  <c r="H7" i="10"/>
  <c r="H5" s="1"/>
  <c r="J189" i="1" s="1"/>
  <c r="P13" i="13"/>
  <c r="J94" i="1" s="1"/>
  <c r="O11" i="35"/>
  <c r="Q11" s="1"/>
  <c r="N12"/>
  <c r="K101" i="5"/>
  <c r="M101" s="1"/>
  <c r="K96"/>
  <c r="M96" s="1"/>
  <c r="J156"/>
  <c r="J153" s="1"/>
  <c r="J145"/>
  <c r="J140"/>
  <c r="J139" s="1"/>
  <c r="J134"/>
  <c r="J129"/>
  <c r="J121"/>
  <c r="J117"/>
  <c r="J78"/>
  <c r="J69" s="1"/>
  <c r="X14" i="41" l="1"/>
  <c r="L106" i="6"/>
  <c r="L158"/>
  <c r="L182"/>
  <c r="L91"/>
  <c r="L87"/>
  <c r="L28"/>
  <c r="L54"/>
  <c r="L80"/>
  <c r="J88" i="32"/>
  <c r="J91" s="1"/>
  <c r="L132" i="6"/>
  <c r="L145"/>
  <c r="L119"/>
  <c r="L171"/>
  <c r="L67"/>
  <c r="L41"/>
  <c r="L15"/>
  <c r="J119" i="5"/>
  <c r="J97" s="1"/>
  <c r="J144"/>
  <c r="J188" i="1"/>
  <c r="J95"/>
  <c r="L178" i="6"/>
  <c r="H27" i="10"/>
  <c r="W12" i="2"/>
  <c r="J194" i="1"/>
  <c r="X15" i="41"/>
  <c r="W13" i="2"/>
  <c r="K49" i="5"/>
  <c r="J86" i="32"/>
  <c r="W9" i="2" s="1"/>
  <c r="J85" i="32"/>
  <c r="J84"/>
  <c r="X9" i="41" s="1"/>
  <c r="J83" i="32"/>
  <c r="X8" i="41" s="1"/>
  <c r="J82" i="32"/>
  <c r="X7" i="41" s="1"/>
  <c r="J80" i="32"/>
  <c r="J73"/>
  <c r="J65"/>
  <c r="J57"/>
  <c r="J50"/>
  <c r="J40"/>
  <c r="J33"/>
  <c r="J25"/>
  <c r="J17"/>
  <c r="J10"/>
  <c r="L93" i="6" l="1"/>
  <c r="K48" i="5"/>
  <c r="M48" s="1"/>
  <c r="M49"/>
  <c r="J190" i="1"/>
  <c r="J198" s="1"/>
  <c r="W8" i="2"/>
  <c r="X10" i="41"/>
  <c r="X11"/>
  <c r="AA11" s="1"/>
  <c r="X13"/>
  <c r="X12" s="1"/>
  <c r="L184" i="6"/>
  <c r="J87" i="32"/>
  <c r="J93" s="1"/>
  <c r="W6" i="2"/>
  <c r="W7"/>
  <c r="W5"/>
  <c r="L24" i="30"/>
  <c r="L17"/>
  <c r="L12"/>
  <c r="X6" i="41" l="1"/>
  <c r="X16" s="1"/>
  <c r="X20" s="1"/>
  <c r="X24" s="1"/>
  <c r="L10" i="30"/>
  <c r="L29" s="1"/>
  <c r="W4" i="2"/>
  <c r="L155" i="7"/>
  <c r="L158" s="1"/>
  <c r="L143"/>
  <c r="L146" s="1"/>
  <c r="L131"/>
  <c r="L134" s="1"/>
  <c r="L119"/>
  <c r="L122" s="1"/>
  <c r="L107"/>
  <c r="L110" s="1"/>
  <c r="L95"/>
  <c r="L98" s="1"/>
  <c r="L85"/>
  <c r="L169" s="1"/>
  <c r="L84"/>
  <c r="L82"/>
  <c r="L166" s="1"/>
  <c r="L81"/>
  <c r="L165" s="1"/>
  <c r="I10" i="41" s="1"/>
  <c r="L80" i="7"/>
  <c r="L164" s="1"/>
  <c r="L79"/>
  <c r="L163" s="1"/>
  <c r="L162"/>
  <c r="J6" i="2" s="1"/>
  <c r="L161" i="7"/>
  <c r="L71"/>
  <c r="L74" s="1"/>
  <c r="L59"/>
  <c r="L47"/>
  <c r="L50" s="1"/>
  <c r="L35"/>
  <c r="L38" s="1"/>
  <c r="L23"/>
  <c r="L26" s="1"/>
  <c r="L11"/>
  <c r="L168" l="1"/>
  <c r="I17" i="41" s="1"/>
  <c r="J7" i="2"/>
  <c r="I9" i="41"/>
  <c r="J11" i="2"/>
  <c r="I13" i="41"/>
  <c r="I8"/>
  <c r="J13" i="2"/>
  <c r="I15" i="41"/>
  <c r="I7"/>
  <c r="J8" i="2"/>
  <c r="L14" i="7"/>
  <c r="I18" i="41"/>
  <c r="L62" i="7"/>
  <c r="L83"/>
  <c r="L86" s="1"/>
  <c r="H5" i="11"/>
  <c r="I5" s="1"/>
  <c r="I6" i="41" l="1"/>
  <c r="L167" i="7"/>
  <c r="J4" i="2"/>
  <c r="L170" i="7"/>
  <c r="N91" i="5"/>
  <c r="H91"/>
  <c r="H187" i="1"/>
  <c r="N140"/>
  <c r="Q140" s="1"/>
  <c r="H140"/>
  <c r="G140"/>
  <c r="F140"/>
  <c r="D140"/>
  <c r="C140"/>
  <c r="Q139"/>
  <c r="I139"/>
  <c r="K139" s="1"/>
  <c r="E139"/>
  <c r="Q138"/>
  <c r="I138"/>
  <c r="K138" s="1"/>
  <c r="M138" s="1"/>
  <c r="Q137"/>
  <c r="I137"/>
  <c r="K137" s="1"/>
  <c r="E137"/>
  <c r="Q136"/>
  <c r="I136"/>
  <c r="E136"/>
  <c r="Q135"/>
  <c r="E140" l="1"/>
  <c r="I140"/>
  <c r="K136"/>
  <c r="N186"/>
  <c r="K140" l="1"/>
  <c r="M140" s="1"/>
  <c r="N183"/>
  <c r="Q183" s="1"/>
  <c r="H183"/>
  <c r="G183"/>
  <c r="F183"/>
  <c r="D183"/>
  <c r="C183"/>
  <c r="Q182"/>
  <c r="I182"/>
  <c r="K182" s="1"/>
  <c r="E182"/>
  <c r="Q181"/>
  <c r="I181"/>
  <c r="K181" s="1"/>
  <c r="M181" s="1"/>
  <c r="Q180"/>
  <c r="I180"/>
  <c r="K180" s="1"/>
  <c r="E180"/>
  <c r="Q179"/>
  <c r="I179"/>
  <c r="K179" s="1"/>
  <c r="E179"/>
  <c r="Q178"/>
  <c r="N177"/>
  <c r="Q177" s="1"/>
  <c r="H177"/>
  <c r="G177"/>
  <c r="F177"/>
  <c r="D177"/>
  <c r="C177"/>
  <c r="Q176"/>
  <c r="I176"/>
  <c r="K176" s="1"/>
  <c r="E176"/>
  <c r="Q175"/>
  <c r="I175"/>
  <c r="K175" s="1"/>
  <c r="M175" s="1"/>
  <c r="Q174"/>
  <c r="I174"/>
  <c r="K174" s="1"/>
  <c r="E174"/>
  <c r="Q173"/>
  <c r="I173"/>
  <c r="K173" s="1"/>
  <c r="E173"/>
  <c r="Q172"/>
  <c r="N171"/>
  <c r="H171"/>
  <c r="G171"/>
  <c r="F171"/>
  <c r="D171"/>
  <c r="C171"/>
  <c r="Q170"/>
  <c r="I170"/>
  <c r="K170" s="1"/>
  <c r="E170"/>
  <c r="Q169"/>
  <c r="I169"/>
  <c r="K169" s="1"/>
  <c r="M169" s="1"/>
  <c r="Q168"/>
  <c r="I168"/>
  <c r="K168" s="1"/>
  <c r="E168"/>
  <c r="Q167"/>
  <c r="I167"/>
  <c r="K167" s="1"/>
  <c r="E167"/>
  <c r="Q166"/>
  <c r="O98" i="5"/>
  <c r="H98"/>
  <c r="K171" i="1" l="1"/>
  <c r="M171" s="1"/>
  <c r="K177"/>
  <c r="M177" s="1"/>
  <c r="K183"/>
  <c r="M183" s="1"/>
  <c r="E177"/>
  <c r="I171"/>
  <c r="E183"/>
  <c r="I183"/>
  <c r="I177"/>
  <c r="E171"/>
  <c r="H53" i="11"/>
  <c r="J28" i="30"/>
  <c r="F5" i="10"/>
  <c r="J6" i="6"/>
  <c r="J13" i="7"/>
  <c r="F189" i="1" l="1"/>
  <c r="H189"/>
  <c r="L12" i="35"/>
  <c r="H38" i="32" s="1"/>
  <c r="R12" i="35"/>
  <c r="N38" i="32" s="1"/>
  <c r="O10" i="35"/>
  <c r="M9"/>
  <c r="O9" s="1"/>
  <c r="Q9" s="1"/>
  <c r="M8"/>
  <c r="O8" s="1"/>
  <c r="Q8" s="1"/>
  <c r="M7"/>
  <c r="O7" s="1"/>
  <c r="M6"/>
  <c r="O6" s="1"/>
  <c r="Q6" s="1"/>
  <c r="M5"/>
  <c r="O5" s="1"/>
  <c r="Q5" s="1"/>
  <c r="S10" l="1"/>
  <c r="S12" s="1"/>
  <c r="Q10"/>
  <c r="O12"/>
  <c r="Q12" s="1"/>
  <c r="H44" i="32"/>
  <c r="H43"/>
  <c r="J122" i="6" l="1"/>
  <c r="J121"/>
  <c r="J82" s="1"/>
  <c r="J85" i="7"/>
  <c r="J169" s="1"/>
  <c r="J84"/>
  <c r="J168" s="1"/>
  <c r="J70" i="6"/>
  <c r="J69"/>
  <c r="J57"/>
  <c r="J56"/>
  <c r="J44"/>
  <c r="J43"/>
  <c r="J31"/>
  <c r="J30"/>
  <c r="J18"/>
  <c r="J17"/>
  <c r="J5"/>
  <c r="J4"/>
  <c r="G15" i="41" l="1"/>
  <c r="P40" i="6" l="1"/>
  <c r="J10" l="1"/>
  <c r="J179" s="1"/>
  <c r="V11" i="2" s="1"/>
  <c r="J181" i="6"/>
  <c r="J180"/>
  <c r="J86"/>
  <c r="J177" s="1"/>
  <c r="J85"/>
  <c r="J176" s="1"/>
  <c r="J84"/>
  <c r="J175" s="1"/>
  <c r="J83"/>
  <c r="J174" s="1"/>
  <c r="J173"/>
  <c r="J82" i="7"/>
  <c r="J166" s="1"/>
  <c r="J81"/>
  <c r="J165" s="1"/>
  <c r="G10" i="41" s="1"/>
  <c r="J80" i="7"/>
  <c r="J164" s="1"/>
  <c r="J79"/>
  <c r="J163" s="1"/>
  <c r="J78"/>
  <c r="J162" s="1"/>
  <c r="J77"/>
  <c r="J161" s="1"/>
  <c r="G13" i="41" s="1"/>
  <c r="J76" i="7"/>
  <c r="J160" l="1"/>
  <c r="G23" i="41"/>
  <c r="G22"/>
  <c r="G19"/>
  <c r="G18"/>
  <c r="H19" i="2"/>
  <c r="H18"/>
  <c r="H197" i="1"/>
  <c r="U15" i="2" s="1"/>
  <c r="H186" i="1"/>
  <c r="H185"/>
  <c r="H165"/>
  <c r="I164"/>
  <c r="K164" s="1"/>
  <c r="I162"/>
  <c r="K162" s="1"/>
  <c r="I161"/>
  <c r="K161" s="1"/>
  <c r="H159"/>
  <c r="I158"/>
  <c r="K158" s="1"/>
  <c r="H153"/>
  <c r="I150"/>
  <c r="K150" s="1"/>
  <c r="I149"/>
  <c r="K149" s="1"/>
  <c r="H147"/>
  <c r="H134"/>
  <c r="H128"/>
  <c r="H122"/>
  <c r="H115"/>
  <c r="H109"/>
  <c r="H102"/>
  <c r="H89"/>
  <c r="H83"/>
  <c r="H76"/>
  <c r="H70"/>
  <c r="H63"/>
  <c r="H57"/>
  <c r="H51"/>
  <c r="H45"/>
  <c r="H39"/>
  <c r="H33"/>
  <c r="H27"/>
  <c r="H21"/>
  <c r="H15"/>
  <c r="H9"/>
  <c r="H90" i="32"/>
  <c r="H88"/>
  <c r="H84" i="11"/>
  <c r="H89" i="32" s="1"/>
  <c r="K83" i="11"/>
  <c r="M83" s="1"/>
  <c r="H79"/>
  <c r="H192" i="1" s="1"/>
  <c r="H58" i="11"/>
  <c r="H59"/>
  <c r="H64"/>
  <c r="K47"/>
  <c r="M47" s="1"/>
  <c r="H42"/>
  <c r="K41"/>
  <c r="M41" s="1"/>
  <c r="K40"/>
  <c r="M40" s="1"/>
  <c r="K23"/>
  <c r="M23" s="1"/>
  <c r="H11"/>
  <c r="H18" s="1"/>
  <c r="K6"/>
  <c r="M6" s="1"/>
  <c r="M5"/>
  <c r="H54" l="1"/>
  <c r="H17" i="2"/>
  <c r="U12"/>
  <c r="G21" i="41"/>
  <c r="H191" i="1"/>
  <c r="H71" i="11"/>
  <c r="H85" s="1"/>
  <c r="V14" i="41"/>
  <c r="H91" i="32"/>
  <c r="N13" i="13"/>
  <c r="H94" i="1" s="1"/>
  <c r="O12" i="13"/>
  <c r="Q12" s="1"/>
  <c r="S12" s="1"/>
  <c r="H86" i="32"/>
  <c r="H85"/>
  <c r="H84"/>
  <c r="H83"/>
  <c r="H82"/>
  <c r="U5" i="2" s="1"/>
  <c r="H80" i="32"/>
  <c r="H73"/>
  <c r="H65"/>
  <c r="H57"/>
  <c r="H50"/>
  <c r="H48"/>
  <c r="H40"/>
  <c r="H33"/>
  <c r="H25"/>
  <c r="H17"/>
  <c r="H10"/>
  <c r="J182" i="6"/>
  <c r="J178"/>
  <c r="J169"/>
  <c r="J165"/>
  <c r="J156"/>
  <c r="J152"/>
  <c r="J143"/>
  <c r="J139"/>
  <c r="J130"/>
  <c r="J126"/>
  <c r="J117"/>
  <c r="J113"/>
  <c r="J104"/>
  <c r="J100"/>
  <c r="J91"/>
  <c r="J87"/>
  <c r="J78"/>
  <c r="J74"/>
  <c r="J65"/>
  <c r="J61"/>
  <c r="J52"/>
  <c r="J48"/>
  <c r="J39"/>
  <c r="J35"/>
  <c r="J26"/>
  <c r="J22"/>
  <c r="J13"/>
  <c r="J9"/>
  <c r="J24" i="30"/>
  <c r="J17"/>
  <c r="J12"/>
  <c r="K11"/>
  <c r="M11" s="1"/>
  <c r="O11" s="1"/>
  <c r="J6"/>
  <c r="I100" i="5"/>
  <c r="K100" s="1"/>
  <c r="M100" s="1"/>
  <c r="H156"/>
  <c r="G17" i="41" s="1"/>
  <c r="H149" i="5"/>
  <c r="H145"/>
  <c r="H140"/>
  <c r="H139" s="1"/>
  <c r="H8" i="2" s="1"/>
  <c r="I8" s="1"/>
  <c r="H137" i="5"/>
  <c r="H134"/>
  <c r="H129"/>
  <c r="H121"/>
  <c r="H117"/>
  <c r="I116"/>
  <c r="K116" s="1"/>
  <c r="M116" s="1"/>
  <c r="H105"/>
  <c r="H87"/>
  <c r="H84"/>
  <c r="H78"/>
  <c r="I73"/>
  <c r="K73" s="1"/>
  <c r="M73" s="1"/>
  <c r="H70"/>
  <c r="I68"/>
  <c r="K68" s="1"/>
  <c r="I67"/>
  <c r="K67" s="1"/>
  <c r="M67" s="1"/>
  <c r="I66"/>
  <c r="K66" s="1"/>
  <c r="I65"/>
  <c r="K65" s="1"/>
  <c r="M65" s="1"/>
  <c r="I63"/>
  <c r="K63" s="1"/>
  <c r="M63" s="1"/>
  <c r="H53"/>
  <c r="H48" s="1"/>
  <c r="I47"/>
  <c r="K47" s="1"/>
  <c r="I46"/>
  <c r="K46" s="1"/>
  <c r="I45"/>
  <c r="K45" s="1"/>
  <c r="H39"/>
  <c r="I38"/>
  <c r="K38" s="1"/>
  <c r="I37"/>
  <c r="K37" s="1"/>
  <c r="I36"/>
  <c r="K36" s="1"/>
  <c r="H33"/>
  <c r="H17"/>
  <c r="H16" s="1"/>
  <c r="H13"/>
  <c r="H5"/>
  <c r="H83" l="1"/>
  <c r="G8" i="41" s="1"/>
  <c r="H128" i="5"/>
  <c r="H12" i="2" s="1"/>
  <c r="H144" i="5"/>
  <c r="H13" i="2" s="1"/>
  <c r="J15" i="6"/>
  <c r="J28"/>
  <c r="J93"/>
  <c r="J106"/>
  <c r="J119"/>
  <c r="J132"/>
  <c r="J145"/>
  <c r="J158"/>
  <c r="J171"/>
  <c r="H6" i="2"/>
  <c r="N7" i="43" s="1"/>
  <c r="J41" i="6"/>
  <c r="J54"/>
  <c r="J67"/>
  <c r="J80"/>
  <c r="H188" i="1"/>
  <c r="H95"/>
  <c r="Q11" i="30"/>
  <c r="H69" i="5"/>
  <c r="H11" i="2" s="1"/>
  <c r="V9" i="41"/>
  <c r="U7" i="2"/>
  <c r="U9"/>
  <c r="V11" i="41"/>
  <c r="H153" i="5"/>
  <c r="H119"/>
  <c r="H97" s="1"/>
  <c r="G14" i="41"/>
  <c r="G12" s="1"/>
  <c r="V13"/>
  <c r="H87" i="32"/>
  <c r="H93" s="1"/>
  <c r="V8" i="41"/>
  <c r="U6" i="2"/>
  <c r="V7" i="41"/>
  <c r="J10" i="30"/>
  <c r="H4" i="5"/>
  <c r="H3" s="1"/>
  <c r="J155" i="7"/>
  <c r="J143"/>
  <c r="J131"/>
  <c r="J134" s="1"/>
  <c r="J119"/>
  <c r="J122" s="1"/>
  <c r="J107"/>
  <c r="J95"/>
  <c r="J71"/>
  <c r="J59"/>
  <c r="J62" s="1"/>
  <c r="J47"/>
  <c r="J35"/>
  <c r="J23"/>
  <c r="J26" s="1"/>
  <c r="H10" i="2" l="1"/>
  <c r="J184" i="6"/>
  <c r="G9" i="41"/>
  <c r="V10"/>
  <c r="V6" s="1"/>
  <c r="U8" i="2"/>
  <c r="H190" i="1"/>
  <c r="H7" i="2"/>
  <c r="J29" i="30"/>
  <c r="H160" i="5"/>
  <c r="G7" i="41"/>
  <c r="H5" i="2"/>
  <c r="H4" s="1"/>
  <c r="J158" i="7"/>
  <c r="J146"/>
  <c r="J110"/>
  <c r="J83"/>
  <c r="J86" s="1"/>
  <c r="J98"/>
  <c r="J74"/>
  <c r="J50"/>
  <c r="J38"/>
  <c r="H14" i="2" l="1"/>
  <c r="H16" s="1"/>
  <c r="H20" s="1"/>
  <c r="U4"/>
  <c r="G6" i="41"/>
  <c r="G16" s="1"/>
  <c r="G20" s="1"/>
  <c r="G24" s="1"/>
  <c r="Q154" i="1"/>
  <c r="Q155"/>
  <c r="Q156"/>
  <c r="Q157"/>
  <c r="Q158"/>
  <c r="Q160"/>
  <c r="Q161"/>
  <c r="Q162"/>
  <c r="Q163"/>
  <c r="Q164"/>
  <c r="Q148"/>
  <c r="Q149"/>
  <c r="Q150"/>
  <c r="Q151"/>
  <c r="Q152"/>
  <c r="F43" i="32" l="1"/>
  <c r="F44"/>
  <c r="H28" i="30"/>
  <c r="N19" i="41"/>
  <c r="U17"/>
  <c r="W17" s="1"/>
  <c r="AA17" s="1"/>
  <c r="F15"/>
  <c r="H15" s="1"/>
  <c r="J15" s="1"/>
  <c r="L15" s="1"/>
  <c r="F13"/>
  <c r="H13" s="1"/>
  <c r="J13" s="1"/>
  <c r="L13" s="1"/>
  <c r="F10"/>
  <c r="H10" s="1"/>
  <c r="J10" s="1"/>
  <c r="L10" s="1"/>
  <c r="F9"/>
  <c r="H9" s="1"/>
  <c r="J9" s="1"/>
  <c r="L9" s="1"/>
  <c r="F8"/>
  <c r="H8" s="1"/>
  <c r="J8" s="1"/>
  <c r="L8" s="1"/>
  <c r="F7"/>
  <c r="H7" s="1"/>
  <c r="J7" s="1"/>
  <c r="L7" s="1"/>
  <c r="F187" i="1"/>
  <c r="F98" i="5"/>
  <c r="F53"/>
  <c r="F48" s="1"/>
  <c r="F42" i="11"/>
  <c r="O42"/>
  <c r="F155" i="5"/>
  <c r="F70"/>
  <c r="G74"/>
  <c r="I74" s="1"/>
  <c r="K74" s="1"/>
  <c r="M74" s="1"/>
  <c r="F39"/>
  <c r="G64"/>
  <c r="I64" s="1"/>
  <c r="K64" s="1"/>
  <c r="M64" s="1"/>
  <c r="E149"/>
  <c r="J6" i="41" l="1"/>
  <c r="L6" s="1"/>
  <c r="H6"/>
  <c r="L13" i="13"/>
  <c r="T13"/>
  <c r="H18" i="6"/>
  <c r="H17"/>
  <c r="H25" i="7"/>
  <c r="F45" i="32"/>
  <c r="F89" i="6" l="1"/>
  <c r="H122" l="1"/>
  <c r="H121"/>
  <c r="H5"/>
  <c r="H4"/>
  <c r="H155" i="7"/>
  <c r="H158" s="1"/>
  <c r="H143"/>
  <c r="H146" s="1"/>
  <c r="H107"/>
  <c r="H110" s="1"/>
  <c r="H95"/>
  <c r="H98" s="1"/>
  <c r="H71"/>
  <c r="H74" s="1"/>
  <c r="H59"/>
  <c r="H62" s="1"/>
  <c r="H47"/>
  <c r="H50" s="1"/>
  <c r="H11"/>
  <c r="H14" s="1"/>
  <c r="H23"/>
  <c r="H35"/>
  <c r="H38" s="1"/>
  <c r="H6" i="6"/>
  <c r="H65"/>
  <c r="H61"/>
  <c r="F64" i="11"/>
  <c r="H76" i="7"/>
  <c r="H160" s="1"/>
  <c r="H77"/>
  <c r="H161" s="1"/>
  <c r="H80"/>
  <c r="H164" s="1"/>
  <c r="H81"/>
  <c r="H84"/>
  <c r="H168" s="1"/>
  <c r="H85"/>
  <c r="H169" s="1"/>
  <c r="H122"/>
  <c r="H82"/>
  <c r="H166" s="1"/>
  <c r="H79"/>
  <c r="H163" s="1"/>
  <c r="H78"/>
  <c r="H162" s="1"/>
  <c r="H131"/>
  <c r="H134" s="1"/>
  <c r="H67" i="6" l="1"/>
  <c r="E18" i="41"/>
  <c r="H83" i="7"/>
  <c r="H86"/>
  <c r="H165"/>
  <c r="N83" i="11"/>
  <c r="F84"/>
  <c r="O83" l="1"/>
  <c r="Q83" s="1"/>
  <c r="F5" i="5"/>
  <c r="G163" i="1" l="1"/>
  <c r="I163" s="1"/>
  <c r="G155"/>
  <c r="I155" s="1"/>
  <c r="G156"/>
  <c r="I156" s="1"/>
  <c r="K156" s="1"/>
  <c r="M156" s="1"/>
  <c r="G157"/>
  <c r="I157" s="1"/>
  <c r="K157" s="1"/>
  <c r="M157" s="1"/>
  <c r="G151"/>
  <c r="I151" s="1"/>
  <c r="K151" s="1"/>
  <c r="M151" s="1"/>
  <c r="E79" i="11"/>
  <c r="G39"/>
  <c r="G38"/>
  <c r="G37"/>
  <c r="G36"/>
  <c r="G35"/>
  <c r="G34"/>
  <c r="G33"/>
  <c r="G32"/>
  <c r="G31"/>
  <c r="M11" i="13"/>
  <c r="O11" s="1"/>
  <c r="Q11" s="1"/>
  <c r="S11" s="1"/>
  <c r="I33" i="11" l="1"/>
  <c r="K33" s="1"/>
  <c r="M33" s="1"/>
  <c r="I35"/>
  <c r="K35" s="1"/>
  <c r="M35" s="1"/>
  <c r="I39"/>
  <c r="K39" s="1"/>
  <c r="M39" s="1"/>
  <c r="I37"/>
  <c r="K37" s="1"/>
  <c r="M37" s="1"/>
  <c r="I32"/>
  <c r="K32" s="1"/>
  <c r="M32" s="1"/>
  <c r="I36"/>
  <c r="K36" s="1"/>
  <c r="M36" s="1"/>
  <c r="I31"/>
  <c r="K31" s="1"/>
  <c r="M31" s="1"/>
  <c r="I34"/>
  <c r="K34" s="1"/>
  <c r="M34" s="1"/>
  <c r="I38"/>
  <c r="K38" s="1"/>
  <c r="M38" s="1"/>
  <c r="I165" i="1"/>
  <c r="K163"/>
  <c r="I159"/>
  <c r="K155"/>
  <c r="H92" i="6"/>
  <c r="H183" s="1"/>
  <c r="H90"/>
  <c r="H181" s="1"/>
  <c r="H89"/>
  <c r="H180" s="1"/>
  <c r="H88"/>
  <c r="H179" s="1"/>
  <c r="T11" i="2" s="1"/>
  <c r="H86" i="6"/>
  <c r="H177" s="1"/>
  <c r="H85"/>
  <c r="H176" s="1"/>
  <c r="H84"/>
  <c r="H175" s="1"/>
  <c r="H83"/>
  <c r="H174" s="1"/>
  <c r="H82"/>
  <c r="H173" s="1"/>
  <c r="H169"/>
  <c r="H165"/>
  <c r="H156"/>
  <c r="H152"/>
  <c r="H143"/>
  <c r="H139"/>
  <c r="H130"/>
  <c r="H126"/>
  <c r="H117"/>
  <c r="H113"/>
  <c r="H104"/>
  <c r="H100"/>
  <c r="H78"/>
  <c r="H74"/>
  <c r="H52"/>
  <c r="H48"/>
  <c r="H39"/>
  <c r="H35"/>
  <c r="H26"/>
  <c r="H22"/>
  <c r="H13"/>
  <c r="H9"/>
  <c r="K159" i="1" l="1"/>
  <c r="M159" s="1"/>
  <c r="M155"/>
  <c r="K165"/>
  <c r="M165" s="1"/>
  <c r="M163"/>
  <c r="H41" i="6"/>
  <c r="H80"/>
  <c r="H119"/>
  <c r="H145"/>
  <c r="H171"/>
  <c r="H54"/>
  <c r="H106"/>
  <c r="H158"/>
  <c r="H28"/>
  <c r="H15"/>
  <c r="H91"/>
  <c r="H182" s="1"/>
  <c r="H87"/>
  <c r="H178" s="1"/>
  <c r="H132"/>
  <c r="H93" l="1"/>
  <c r="H184" s="1"/>
  <c r="H17" i="30" l="1"/>
  <c r="H6" l="1"/>
  <c r="H5" l="1"/>
  <c r="H24" l="1"/>
  <c r="H29" l="1"/>
  <c r="F4" i="6" l="1"/>
  <c r="F13" i="7" l="1"/>
  <c r="F5" i="6"/>
  <c r="O6" i="43" l="1"/>
  <c r="O7"/>
  <c r="O185" i="1" l="1"/>
  <c r="N185"/>
  <c r="O186"/>
  <c r="F186"/>
  <c r="F185"/>
  <c r="Q35" i="11"/>
  <c r="F79"/>
  <c r="G78"/>
  <c r="G77"/>
  <c r="I77" l="1"/>
  <c r="K77" s="1"/>
  <c r="M77" s="1"/>
  <c r="I78"/>
  <c r="K78" s="1"/>
  <c r="M78" s="1"/>
  <c r="G76"/>
  <c r="G152" i="5"/>
  <c r="I152" s="1"/>
  <c r="K152" s="1"/>
  <c r="M152" s="1"/>
  <c r="F149"/>
  <c r="O165" i="1"/>
  <c r="N165"/>
  <c r="G165"/>
  <c r="F165"/>
  <c r="D165"/>
  <c r="C165"/>
  <c r="E164"/>
  <c r="E162"/>
  <c r="E161"/>
  <c r="O159"/>
  <c r="N159"/>
  <c r="G159"/>
  <c r="F159"/>
  <c r="D159"/>
  <c r="C159"/>
  <c r="E158"/>
  <c r="E159" s="1"/>
  <c r="O153"/>
  <c r="N153"/>
  <c r="F153"/>
  <c r="D153"/>
  <c r="C153"/>
  <c r="E152"/>
  <c r="G152" s="1"/>
  <c r="E150"/>
  <c r="E149"/>
  <c r="I76" i="11" l="1"/>
  <c r="K76" s="1"/>
  <c r="M76" s="1"/>
  <c r="Q159" i="1"/>
  <c r="Q153"/>
  <c r="Q165"/>
  <c r="G153"/>
  <c r="I152"/>
  <c r="E165"/>
  <c r="E153"/>
  <c r="Q32" i="11"/>
  <c r="F94" i="1"/>
  <c r="Q31" i="11"/>
  <c r="F105" i="5"/>
  <c r="F6" i="6"/>
  <c r="F97"/>
  <c r="F97" i="7"/>
  <c r="I153" i="1" l="1"/>
  <c r="K152"/>
  <c r="F25" i="7"/>
  <c r="K153" i="1" l="1"/>
  <c r="M153" s="1"/>
  <c r="F28" i="30"/>
  <c r="F122" i="6"/>
  <c r="F121"/>
  <c r="F70"/>
  <c r="F69"/>
  <c r="F57"/>
  <c r="F56"/>
  <c r="F44"/>
  <c r="F43"/>
  <c r="F37" i="7"/>
  <c r="F18" i="6"/>
  <c r="F17"/>
  <c r="G19" i="30" l="1"/>
  <c r="I19" s="1"/>
  <c r="K19" s="1"/>
  <c r="M19" s="1"/>
  <c r="D20"/>
  <c r="E20"/>
  <c r="G20" s="1"/>
  <c r="I20" s="1"/>
  <c r="K20" s="1"/>
  <c r="M20" s="1"/>
  <c r="G15"/>
  <c r="I15" s="1"/>
  <c r="K15" s="1"/>
  <c r="M15" s="1"/>
  <c r="Q20" l="1"/>
  <c r="O20"/>
  <c r="Q15"/>
  <c r="O15"/>
  <c r="Q19"/>
  <c r="O19"/>
  <c r="F84" i="6"/>
  <c r="F82" i="7"/>
  <c r="F166" s="1"/>
  <c r="F81"/>
  <c r="F165" s="1"/>
  <c r="F80"/>
  <c r="F164" s="1"/>
  <c r="F79"/>
  <c r="F163" s="1"/>
  <c r="F78"/>
  <c r="F162" s="1"/>
  <c r="F77"/>
  <c r="F76"/>
  <c r="F4"/>
  <c r="F83" i="6"/>
  <c r="F82"/>
  <c r="F74"/>
  <c r="F175"/>
  <c r="F6" i="30"/>
  <c r="F5" s="1"/>
  <c r="G9"/>
  <c r="I9" s="1"/>
  <c r="K9" s="1"/>
  <c r="M9" s="1"/>
  <c r="F53" i="11"/>
  <c r="F88" i="32" s="1"/>
  <c r="F25" i="30"/>
  <c r="F82" i="32"/>
  <c r="S5" i="2" s="1"/>
  <c r="F11" i="7"/>
  <c r="F85"/>
  <c r="F83" s="1"/>
  <c r="F143"/>
  <c r="F146" s="1"/>
  <c r="F131"/>
  <c r="F134" s="1"/>
  <c r="F95"/>
  <c r="F98" s="1"/>
  <c r="F71"/>
  <c r="F74" s="1"/>
  <c r="F47"/>
  <c r="F50" s="1"/>
  <c r="F23"/>
  <c r="F26" s="1"/>
  <c r="K8" i="16"/>
  <c r="K13"/>
  <c r="K20"/>
  <c r="K19"/>
  <c r="E21" i="42"/>
  <c r="G21"/>
  <c r="E20"/>
  <c r="G20"/>
  <c r="G17"/>
  <c r="H9"/>
  <c r="G26" i="10"/>
  <c r="I26" s="1"/>
  <c r="K26" s="1"/>
  <c r="L20"/>
  <c r="F20"/>
  <c r="F192" i="1"/>
  <c r="F63" i="11"/>
  <c r="F62"/>
  <c r="F61"/>
  <c r="F60"/>
  <c r="F59"/>
  <c r="F58"/>
  <c r="F191" i="1"/>
  <c r="F11" i="11"/>
  <c r="F18" s="1"/>
  <c r="F90" i="32"/>
  <c r="F89"/>
  <c r="F86"/>
  <c r="F85"/>
  <c r="F84"/>
  <c r="F83"/>
  <c r="S6" i="2" s="1"/>
  <c r="F80" i="32"/>
  <c r="D73"/>
  <c r="F73"/>
  <c r="C73"/>
  <c r="F65"/>
  <c r="F57"/>
  <c r="F50"/>
  <c r="F40"/>
  <c r="F33"/>
  <c r="F25"/>
  <c r="F17"/>
  <c r="F10"/>
  <c r="F197" i="1"/>
  <c r="S15" i="2" s="1"/>
  <c r="T15" s="1"/>
  <c r="V15" s="1"/>
  <c r="G196" i="1"/>
  <c r="I196" s="1"/>
  <c r="K196" s="1"/>
  <c r="M196" s="1"/>
  <c r="G195"/>
  <c r="I195" s="1"/>
  <c r="K195" s="1"/>
  <c r="M195" s="1"/>
  <c r="F188"/>
  <c r="F147"/>
  <c r="F134"/>
  <c r="F128"/>
  <c r="F122"/>
  <c r="F115"/>
  <c r="F109"/>
  <c r="F102"/>
  <c r="F95"/>
  <c r="F89"/>
  <c r="F83"/>
  <c r="F76"/>
  <c r="F70"/>
  <c r="F63"/>
  <c r="F57"/>
  <c r="F51"/>
  <c r="F45"/>
  <c r="F39"/>
  <c r="F33"/>
  <c r="F27"/>
  <c r="F21"/>
  <c r="F15"/>
  <c r="F9"/>
  <c r="F183" i="6"/>
  <c r="F181"/>
  <c r="F177"/>
  <c r="F176"/>
  <c r="F169"/>
  <c r="F165"/>
  <c r="F152"/>
  <c r="F139"/>
  <c r="F130"/>
  <c r="F117"/>
  <c r="F113"/>
  <c r="F104"/>
  <c r="F100"/>
  <c r="F78"/>
  <c r="F65"/>
  <c r="F52"/>
  <c r="F39"/>
  <c r="F35"/>
  <c r="F26"/>
  <c r="F13"/>
  <c r="F17" i="30"/>
  <c r="F10" s="1"/>
  <c r="F156" i="5"/>
  <c r="D134"/>
  <c r="F134"/>
  <c r="C134"/>
  <c r="G82"/>
  <c r="I82" s="1"/>
  <c r="K82" s="1"/>
  <c r="M82" s="1"/>
  <c r="F78"/>
  <c r="F69" s="1"/>
  <c r="F11" i="2" s="1"/>
  <c r="G11" s="1"/>
  <c r="I11" s="1"/>
  <c r="M11" s="1"/>
  <c r="G72" i="5"/>
  <c r="I72" s="1"/>
  <c r="K72" s="1"/>
  <c r="M72" s="1"/>
  <c r="G62"/>
  <c r="I62" s="1"/>
  <c r="K62" s="1"/>
  <c r="G42"/>
  <c r="I42" s="1"/>
  <c r="K42" s="1"/>
  <c r="M42" s="1"/>
  <c r="G43"/>
  <c r="I43" s="1"/>
  <c r="K43" s="1"/>
  <c r="M43" s="1"/>
  <c r="G32"/>
  <c r="I32" s="1"/>
  <c r="K32" s="1"/>
  <c r="G19"/>
  <c r="I19" s="1"/>
  <c r="K19" s="1"/>
  <c r="M19" s="1"/>
  <c r="G20"/>
  <c r="I20" s="1"/>
  <c r="K20" s="1"/>
  <c r="M20" s="1"/>
  <c r="G21"/>
  <c r="I21" s="1"/>
  <c r="K21" s="1"/>
  <c r="M21" s="1"/>
  <c r="G18"/>
  <c r="I18" s="1"/>
  <c r="K18" s="1"/>
  <c r="M18" s="1"/>
  <c r="F13"/>
  <c r="F33" s="1"/>
  <c r="F161" i="7"/>
  <c r="F155"/>
  <c r="F158" s="1"/>
  <c r="G156"/>
  <c r="I156" s="1"/>
  <c r="K156" s="1"/>
  <c r="M156" s="1"/>
  <c r="G144"/>
  <c r="I144" s="1"/>
  <c r="K144" s="1"/>
  <c r="M144" s="1"/>
  <c r="G132"/>
  <c r="I132" s="1"/>
  <c r="K132" s="1"/>
  <c r="M132" s="1"/>
  <c r="F119"/>
  <c r="F122" s="1"/>
  <c r="G120"/>
  <c r="I120" s="1"/>
  <c r="K120" s="1"/>
  <c r="F107"/>
  <c r="F110" s="1"/>
  <c r="G108"/>
  <c r="I108" s="1"/>
  <c r="K108" s="1"/>
  <c r="M108" s="1"/>
  <c r="G96"/>
  <c r="I96" s="1"/>
  <c r="K96" s="1"/>
  <c r="M96" s="1"/>
  <c r="G72"/>
  <c r="I72" s="1"/>
  <c r="K72" s="1"/>
  <c r="G60"/>
  <c r="I60" s="1"/>
  <c r="K60" s="1"/>
  <c r="M60" s="1"/>
  <c r="F59"/>
  <c r="F62" s="1"/>
  <c r="G48"/>
  <c r="I48" s="1"/>
  <c r="K48" s="1"/>
  <c r="M48" s="1"/>
  <c r="G36"/>
  <c r="I36" s="1"/>
  <c r="K36" s="1"/>
  <c r="M36" s="1"/>
  <c r="F35"/>
  <c r="F38" s="1"/>
  <c r="G12"/>
  <c r="E23" i="41"/>
  <c r="E22"/>
  <c r="E19"/>
  <c r="S17" i="2"/>
  <c r="T17"/>
  <c r="F19"/>
  <c r="F18"/>
  <c r="I12" i="7" l="1"/>
  <c r="P108"/>
  <c r="O108"/>
  <c r="Q120"/>
  <c r="O120"/>
  <c r="P132"/>
  <c r="O132"/>
  <c r="P156"/>
  <c r="O156"/>
  <c r="P36"/>
  <c r="O36"/>
  <c r="P72"/>
  <c r="O72"/>
  <c r="P48"/>
  <c r="O48"/>
  <c r="P60"/>
  <c r="O60"/>
  <c r="P96"/>
  <c r="P144"/>
  <c r="P9" i="30"/>
  <c r="O9"/>
  <c r="K17" i="5"/>
  <c r="M17" s="1"/>
  <c r="K197" i="1"/>
  <c r="M197" s="1"/>
  <c r="F41" i="6"/>
  <c r="F171"/>
  <c r="F193" i="1"/>
  <c r="S13" i="2" s="1"/>
  <c r="H193" i="1"/>
  <c r="I17" i="5"/>
  <c r="I197" i="1"/>
  <c r="F160" i="7"/>
  <c r="K18" i="16"/>
  <c r="K22" s="1"/>
  <c r="I84" i="7"/>
  <c r="K84" s="1"/>
  <c r="O84" s="1"/>
  <c r="E17" i="41"/>
  <c r="F86" i="7"/>
  <c r="S12" i="2"/>
  <c r="T14" i="41"/>
  <c r="T13"/>
  <c r="T10"/>
  <c r="S8" i="2"/>
  <c r="T9" i="41"/>
  <c r="S7" i="2"/>
  <c r="T8" i="41"/>
  <c r="T7"/>
  <c r="F88" i="6"/>
  <c r="F179" s="1"/>
  <c r="R11" i="2" s="1"/>
  <c r="G197" i="1"/>
  <c r="Q8" i="42"/>
  <c r="F119" i="6"/>
  <c r="F80"/>
  <c r="F156"/>
  <c r="F158" s="1"/>
  <c r="F180"/>
  <c r="Q12" i="42" s="1"/>
  <c r="F143" i="6"/>
  <c r="F145" s="1"/>
  <c r="F17" i="2"/>
  <c r="F24" i="30"/>
  <c r="F87" i="6"/>
  <c r="F126"/>
  <c r="F132" s="1"/>
  <c r="F61"/>
  <c r="F67" s="1"/>
  <c r="F48"/>
  <c r="F54" s="1"/>
  <c r="F22"/>
  <c r="F28" s="1"/>
  <c r="F173"/>
  <c r="Q5" i="42" s="1"/>
  <c r="F9" i="6"/>
  <c r="F15" s="1"/>
  <c r="Q7" i="42"/>
  <c r="F48" i="32"/>
  <c r="F87" s="1"/>
  <c r="F174" i="6"/>
  <c r="Q6" i="42" s="1"/>
  <c r="F167" i="7"/>
  <c r="F169" s="1"/>
  <c r="F14"/>
  <c r="F54" i="11"/>
  <c r="G16" i="42"/>
  <c r="F106" i="6"/>
  <c r="F91" i="32"/>
  <c r="F27" i="10"/>
  <c r="F71" i="11"/>
  <c r="F85" s="1"/>
  <c r="G19" i="42"/>
  <c r="E21" i="41"/>
  <c r="F153" i="5"/>
  <c r="F145" s="1"/>
  <c r="F144" s="1"/>
  <c r="F13" i="2" s="1"/>
  <c r="G13" s="1"/>
  <c r="I13" s="1"/>
  <c r="M13" s="1"/>
  <c r="K12" i="7" l="1"/>
  <c r="T15" i="41"/>
  <c r="T12" s="1"/>
  <c r="F194" i="1"/>
  <c r="Q13" i="42"/>
  <c r="U13" i="2"/>
  <c r="V15" i="41"/>
  <c r="V12" s="1"/>
  <c r="V16" s="1"/>
  <c r="H194" i="1"/>
  <c r="H198" s="1"/>
  <c r="F140" i="5"/>
  <c r="F139" s="1"/>
  <c r="F8" i="2" s="1"/>
  <c r="M8" s="1"/>
  <c r="F137" i="5"/>
  <c r="F129" s="1"/>
  <c r="F121" s="1"/>
  <c r="F119" s="1"/>
  <c r="F117" s="1"/>
  <c r="F97" s="1"/>
  <c r="F17"/>
  <c r="F16" s="1"/>
  <c r="T11" i="41"/>
  <c r="S9" i="2"/>
  <c r="Q11" i="42"/>
  <c r="F91" i="6"/>
  <c r="F182" s="1"/>
  <c r="F29" i="30"/>
  <c r="F178" i="6"/>
  <c r="F93" i="32"/>
  <c r="F170" i="7"/>
  <c r="G13" i="42"/>
  <c r="G11"/>
  <c r="F190" i="1"/>
  <c r="Q9" i="42"/>
  <c r="Q4" s="1"/>
  <c r="M20" i="10"/>
  <c r="D23"/>
  <c r="D20" s="1"/>
  <c r="O26"/>
  <c r="M12" i="7" l="1"/>
  <c r="F93" i="6"/>
  <c r="F198" i="1"/>
  <c r="Q10" i="42"/>
  <c r="Q14" s="1"/>
  <c r="Q18" s="1"/>
  <c r="Q22" s="1"/>
  <c r="V20" i="41"/>
  <c r="V24" s="1"/>
  <c r="G25"/>
  <c r="F128" i="5"/>
  <c r="F12" i="2" s="1"/>
  <c r="F10" s="1"/>
  <c r="F91" i="5"/>
  <c r="F87" s="1"/>
  <c r="F84" s="1"/>
  <c r="F83" s="1"/>
  <c r="F7" i="2"/>
  <c r="G7" s="1"/>
  <c r="I7" s="1"/>
  <c r="K7" s="1"/>
  <c r="M7" s="1"/>
  <c r="G8" i="42"/>
  <c r="E14" i="41"/>
  <c r="E12" s="1"/>
  <c r="F184" i="6"/>
  <c r="F4" i="5"/>
  <c r="T6" i="41"/>
  <c r="T16" s="1"/>
  <c r="T20" s="1"/>
  <c r="T24" s="1"/>
  <c r="S4" i="2"/>
  <c r="D157" i="7"/>
  <c r="D145"/>
  <c r="D25"/>
  <c r="D13"/>
  <c r="O12" l="1"/>
  <c r="P12"/>
  <c r="G12" i="42"/>
  <c r="G10" s="1"/>
  <c r="G7"/>
  <c r="F6" i="2"/>
  <c r="G6" s="1"/>
  <c r="I6" s="1"/>
  <c r="K6" s="1"/>
  <c r="M6" s="1"/>
  <c r="G6" i="42"/>
  <c r="F3" i="5"/>
  <c r="F5" i="2" s="1"/>
  <c r="J22" i="17"/>
  <c r="F160" i="5" l="1"/>
  <c r="F200" i="1" s="1"/>
  <c r="F201" s="1"/>
  <c r="G5" i="2"/>
  <c r="I5" s="1"/>
  <c r="E6" i="41"/>
  <c r="E16" s="1"/>
  <c r="E25" s="1"/>
  <c r="G5" i="42"/>
  <c r="G4" s="1"/>
  <c r="G14" s="1"/>
  <c r="G23" s="1"/>
  <c r="N64" i="11"/>
  <c r="N71" s="1"/>
  <c r="D68"/>
  <c r="G68" s="1"/>
  <c r="D69"/>
  <c r="E69" s="1"/>
  <c r="G69" s="1"/>
  <c r="D67"/>
  <c r="E67" s="1"/>
  <c r="D66"/>
  <c r="D65"/>
  <c r="E65" s="1"/>
  <c r="G65" s="1"/>
  <c r="D63"/>
  <c r="E63" s="1"/>
  <c r="G63" s="1"/>
  <c r="D62"/>
  <c r="E62" s="1"/>
  <c r="G62" s="1"/>
  <c r="D61"/>
  <c r="E61" s="1"/>
  <c r="G61" s="1"/>
  <c r="D60"/>
  <c r="E60" s="1"/>
  <c r="G60" s="1"/>
  <c r="D59"/>
  <c r="E59" s="1"/>
  <c r="D58"/>
  <c r="E58" s="1"/>
  <c r="D70"/>
  <c r="E70" s="1"/>
  <c r="G70" s="1"/>
  <c r="P58"/>
  <c r="O58"/>
  <c r="D16"/>
  <c r="D15"/>
  <c r="G15" s="1"/>
  <c r="D9"/>
  <c r="E9" s="1"/>
  <c r="G9" s="1"/>
  <c r="I70" l="1"/>
  <c r="K70" s="1"/>
  <c r="I9"/>
  <c r="K9" s="1"/>
  <c r="M9" s="1"/>
  <c r="I60"/>
  <c r="K60" s="1"/>
  <c r="M60" s="1"/>
  <c r="I65"/>
  <c r="K65" s="1"/>
  <c r="I68"/>
  <c r="M68" s="1"/>
  <c r="I15"/>
  <c r="K15" s="1"/>
  <c r="M15" s="1"/>
  <c r="I61"/>
  <c r="K61" s="1"/>
  <c r="M61" s="1"/>
  <c r="I63"/>
  <c r="I69"/>
  <c r="K69" s="1"/>
  <c r="M69" s="1"/>
  <c r="I62"/>
  <c r="K62" s="1"/>
  <c r="M62" s="1"/>
  <c r="I4" i="2"/>
  <c r="M5"/>
  <c r="F4"/>
  <c r="F14" s="1"/>
  <c r="G18" i="42"/>
  <c r="G22" s="1"/>
  <c r="E20" i="41"/>
  <c r="E24" s="1"/>
  <c r="O67" i="11"/>
  <c r="O64" s="1"/>
  <c r="O71" s="1"/>
  <c r="G67"/>
  <c r="Q58"/>
  <c r="D64"/>
  <c r="E66"/>
  <c r="G66" s="1"/>
  <c r="D80" i="1"/>
  <c r="D70" i="5"/>
  <c r="I66" i="11" l="1"/>
  <c r="K66" s="1"/>
  <c r="I67"/>
  <c r="K67" s="1"/>
  <c r="K4" i="2"/>
  <c r="M4" s="1"/>
  <c r="F16"/>
  <c r="F20" s="1"/>
  <c r="G64" i="11"/>
  <c r="N11"/>
  <c r="N18" s="1"/>
  <c r="G16"/>
  <c r="D71"/>
  <c r="E71"/>
  <c r="E84" i="7"/>
  <c r="G84" s="1"/>
  <c r="D114" i="6"/>
  <c r="D13" i="11" s="1"/>
  <c r="E13" s="1"/>
  <c r="G13" s="1"/>
  <c r="D97" i="7"/>
  <c r="D49"/>
  <c r="D37"/>
  <c r="D6" i="6"/>
  <c r="K64" i="11" l="1"/>
  <c r="M64" s="1"/>
  <c r="I64"/>
  <c r="I13"/>
  <c r="K13" s="1"/>
  <c r="M13" s="1"/>
  <c r="I16"/>
  <c r="K16" s="1"/>
  <c r="M16" s="1"/>
  <c r="D44" i="32"/>
  <c r="D43"/>
  <c r="D157" i="5" l="1"/>
  <c r="N157" s="1"/>
  <c r="D158" l="1"/>
  <c r="N158" s="1"/>
  <c r="D73" i="7" l="1"/>
  <c r="D61"/>
  <c r="D177" i="6"/>
  <c r="P4" i="2" l="1"/>
  <c r="D18"/>
  <c r="I14" i="17" s="1"/>
  <c r="O14" s="1"/>
  <c r="D19" i="2"/>
  <c r="C10"/>
  <c r="D17" l="1"/>
  <c r="N88" i="32"/>
  <c r="D53" i="11"/>
  <c r="D88" i="32" s="1"/>
  <c r="C53" i="11"/>
  <c r="C88" i="32" s="1"/>
  <c r="E46" i="11"/>
  <c r="G46" s="1"/>
  <c r="D26" i="30"/>
  <c r="E26" s="1"/>
  <c r="D57" i="32"/>
  <c r="D25"/>
  <c r="D17"/>
  <c r="D9"/>
  <c r="D86" s="1"/>
  <c r="D27" i="30"/>
  <c r="I46" i="11" l="1"/>
  <c r="K46" s="1"/>
  <c r="M46" s="1"/>
  <c r="G26" i="30"/>
  <c r="I26" s="1"/>
  <c r="K26" s="1"/>
  <c r="D25"/>
  <c r="D10" i="32"/>
  <c r="D163" i="5"/>
  <c r="M26" i="30" l="1"/>
  <c r="N42" i="5"/>
  <c r="Q160" i="7"/>
  <c r="Q161"/>
  <c r="Q162"/>
  <c r="Q84"/>
  <c r="P84" s="1"/>
  <c r="P26" i="30" l="1"/>
  <c r="O26"/>
  <c r="Q168" i="7"/>
  <c r="D97" i="6"/>
  <c r="D123"/>
  <c r="D79" i="1"/>
  <c r="D84" i="7"/>
  <c r="D168" s="1"/>
  <c r="D5"/>
  <c r="D4"/>
  <c r="D85"/>
  <c r="D45" i="32" l="1"/>
  <c r="D48" s="1"/>
  <c r="D78" i="5"/>
  <c r="N73" i="11" l="1"/>
  <c r="N79" s="1"/>
  <c r="M17" i="10"/>
  <c r="M16"/>
  <c r="M14"/>
  <c r="M12"/>
  <c r="M8"/>
  <c r="N55" i="1"/>
  <c r="N61"/>
  <c r="N49"/>
  <c r="E49"/>
  <c r="G49" s="1"/>
  <c r="I49" s="1"/>
  <c r="K49" s="1"/>
  <c r="M49" s="1"/>
  <c r="N54" i="32"/>
  <c r="N53"/>
  <c r="N52"/>
  <c r="O7"/>
  <c r="D11" i="7"/>
  <c r="Q11"/>
  <c r="R11"/>
  <c r="R14" s="1"/>
  <c r="C11"/>
  <c r="D35"/>
  <c r="D38" s="1"/>
  <c r="Q35"/>
  <c r="Q38" s="1"/>
  <c r="R35"/>
  <c r="R38" s="1"/>
  <c r="C35"/>
  <c r="C38" s="1"/>
  <c r="D47"/>
  <c r="D50" s="1"/>
  <c r="Q47"/>
  <c r="Q50" s="1"/>
  <c r="R47"/>
  <c r="R50" s="1"/>
  <c r="C47"/>
  <c r="C50" s="1"/>
  <c r="D59"/>
  <c r="D62" s="1"/>
  <c r="Q59"/>
  <c r="Q62" s="1"/>
  <c r="R59"/>
  <c r="R62" s="1"/>
  <c r="C59"/>
  <c r="C62" s="1"/>
  <c r="D71"/>
  <c r="D74" s="1"/>
  <c r="Q71"/>
  <c r="Q74" s="1"/>
  <c r="R71"/>
  <c r="R74" s="1"/>
  <c r="C71"/>
  <c r="C74" s="1"/>
  <c r="D83"/>
  <c r="R83"/>
  <c r="R86" s="1"/>
  <c r="C83"/>
  <c r="C86" s="1"/>
  <c r="D95"/>
  <c r="D98" s="1"/>
  <c r="Q95"/>
  <c r="Q98" s="1"/>
  <c r="R95"/>
  <c r="R98" s="1"/>
  <c r="C95"/>
  <c r="C98" s="1"/>
  <c r="D107"/>
  <c r="D110" s="1"/>
  <c r="Q107"/>
  <c r="Q110" s="1"/>
  <c r="R107"/>
  <c r="R110" s="1"/>
  <c r="C107"/>
  <c r="C110" s="1"/>
  <c r="D119"/>
  <c r="D122" s="1"/>
  <c r="P119"/>
  <c r="R119"/>
  <c r="R122" s="1"/>
  <c r="C119"/>
  <c r="C122" s="1"/>
  <c r="D131"/>
  <c r="D134" s="1"/>
  <c r="Q131"/>
  <c r="Q134" s="1"/>
  <c r="R131"/>
  <c r="R134" s="1"/>
  <c r="C131"/>
  <c r="C134" s="1"/>
  <c r="D143"/>
  <c r="D146" s="1"/>
  <c r="Q143"/>
  <c r="Q146" s="1"/>
  <c r="R143"/>
  <c r="R146" s="1"/>
  <c r="C143"/>
  <c r="C146" s="1"/>
  <c r="D155"/>
  <c r="D158" s="1"/>
  <c r="Q155"/>
  <c r="Q158" s="1"/>
  <c r="R155"/>
  <c r="R158" s="1"/>
  <c r="C155"/>
  <c r="C158" s="1"/>
  <c r="Q88" i="6"/>
  <c r="Q89"/>
  <c r="Q90"/>
  <c r="Q92"/>
  <c r="Q85"/>
  <c r="Q86"/>
  <c r="Q84"/>
  <c r="Q83"/>
  <c r="D92"/>
  <c r="D183" s="1"/>
  <c r="P15" i="2" s="1"/>
  <c r="D90" i="6"/>
  <c r="D181" s="1"/>
  <c r="D89"/>
  <c r="D180" s="1"/>
  <c r="D85"/>
  <c r="D84"/>
  <c r="C88"/>
  <c r="C89"/>
  <c r="C90"/>
  <c r="C92"/>
  <c r="C86"/>
  <c r="C85"/>
  <c r="C84"/>
  <c r="C83"/>
  <c r="C82"/>
  <c r="E25" i="7"/>
  <c r="E24"/>
  <c r="E168" s="1"/>
  <c r="R23"/>
  <c r="Q23"/>
  <c r="D23"/>
  <c r="C23"/>
  <c r="N187" i="1" l="1"/>
  <c r="G25" i="7"/>
  <c r="I25" s="1"/>
  <c r="K25" s="1"/>
  <c r="M25" s="1"/>
  <c r="G24"/>
  <c r="R17" i="41"/>
  <c r="Q87" i="6"/>
  <c r="C87"/>
  <c r="C167" i="7"/>
  <c r="C169" s="1"/>
  <c r="C91" i="6"/>
  <c r="D86" i="7"/>
  <c r="D167"/>
  <c r="D169" s="1"/>
  <c r="C14"/>
  <c r="D14"/>
  <c r="Q14"/>
  <c r="E23"/>
  <c r="D166" i="6"/>
  <c r="D17" i="11" s="1"/>
  <c r="E17" s="1"/>
  <c r="G17" s="1"/>
  <c r="D127" i="6"/>
  <c r="D14" i="11" s="1"/>
  <c r="E14" s="1"/>
  <c r="D101" i="6"/>
  <c r="D12" i="11" s="1"/>
  <c r="D122" i="6"/>
  <c r="D83" s="1"/>
  <c r="D121"/>
  <c r="D82" s="1"/>
  <c r="D75"/>
  <c r="D10" i="11" s="1"/>
  <c r="E10" s="1"/>
  <c r="G10" s="1"/>
  <c r="D70" i="6"/>
  <c r="D69"/>
  <c r="D57"/>
  <c r="D56"/>
  <c r="D45"/>
  <c r="D49"/>
  <c r="D8" i="11" s="1"/>
  <c r="E8" s="1"/>
  <c r="G8" s="1"/>
  <c r="D44" i="6"/>
  <c r="D43"/>
  <c r="D36"/>
  <c r="D7" i="11" s="1"/>
  <c r="E7" s="1"/>
  <c r="G7" s="1"/>
  <c r="D32" i="6"/>
  <c r="D23"/>
  <c r="D6" i="11" s="1"/>
  <c r="E6" s="1"/>
  <c r="D18" i="6"/>
  <c r="D17"/>
  <c r="D10"/>
  <c r="D5"/>
  <c r="D4"/>
  <c r="D58"/>
  <c r="D176"/>
  <c r="D71"/>
  <c r="I24" i="7" l="1"/>
  <c r="I168" s="1"/>
  <c r="G168"/>
  <c r="P25"/>
  <c r="O25"/>
  <c r="I10" i="11"/>
  <c r="K10" s="1"/>
  <c r="M10" s="1"/>
  <c r="I7"/>
  <c r="K7" s="1"/>
  <c r="M7" s="1"/>
  <c r="I8"/>
  <c r="K8" s="1"/>
  <c r="M8" s="1"/>
  <c r="I17"/>
  <c r="K17" s="1"/>
  <c r="M17" s="1"/>
  <c r="K24" i="7"/>
  <c r="K168" s="1"/>
  <c r="G23"/>
  <c r="G14" i="11"/>
  <c r="E12"/>
  <c r="G12" s="1"/>
  <c r="D11"/>
  <c r="D5"/>
  <c r="D87" i="6"/>
  <c r="D175"/>
  <c r="D88"/>
  <c r="D91" s="1"/>
  <c r="D174"/>
  <c r="D173"/>
  <c r="O15" i="42"/>
  <c r="E17"/>
  <c r="E16"/>
  <c r="I20" i="16"/>
  <c r="I19"/>
  <c r="I14" i="11" l="1"/>
  <c r="K14" s="1"/>
  <c r="M14" s="1"/>
  <c r="I12"/>
  <c r="M12" s="1"/>
  <c r="O24" i="7"/>
  <c r="G11" i="11"/>
  <c r="D18"/>
  <c r="G18" s="1"/>
  <c r="D179" i="6"/>
  <c r="E19" i="42"/>
  <c r="O6" i="10"/>
  <c r="O8"/>
  <c r="O9"/>
  <c r="O10"/>
  <c r="O11"/>
  <c r="O12"/>
  <c r="O13"/>
  <c r="O14"/>
  <c r="O15"/>
  <c r="O16"/>
  <c r="O17"/>
  <c r="O18"/>
  <c r="O21"/>
  <c r="O22"/>
  <c r="O23"/>
  <c r="O24"/>
  <c r="O25"/>
  <c r="E22"/>
  <c r="G22" s="1"/>
  <c r="I22" s="1"/>
  <c r="K22" s="1"/>
  <c r="E23"/>
  <c r="G23" s="1"/>
  <c r="I23" s="1"/>
  <c r="K23" s="1"/>
  <c r="E24"/>
  <c r="G24" s="1"/>
  <c r="I24" s="1"/>
  <c r="K24" s="1"/>
  <c r="E25"/>
  <c r="G25" s="1"/>
  <c r="I25" s="1"/>
  <c r="K25" s="1"/>
  <c r="E21"/>
  <c r="G13"/>
  <c r="I13" s="1"/>
  <c r="K13" s="1"/>
  <c r="E14"/>
  <c r="G14" s="1"/>
  <c r="I14" s="1"/>
  <c r="K14" s="1"/>
  <c r="E15"/>
  <c r="G15" s="1"/>
  <c r="E16"/>
  <c r="G16" s="1"/>
  <c r="E17"/>
  <c r="G17" s="1"/>
  <c r="I17" s="1"/>
  <c r="K17" s="1"/>
  <c r="E18"/>
  <c r="G18" s="1"/>
  <c r="I18" s="1"/>
  <c r="K18" s="1"/>
  <c r="E12"/>
  <c r="G12" s="1"/>
  <c r="I12" s="1"/>
  <c r="K12" s="1"/>
  <c r="E9"/>
  <c r="G9" s="1"/>
  <c r="I9" s="1"/>
  <c r="K9" s="1"/>
  <c r="G10"/>
  <c r="I10" s="1"/>
  <c r="K10" s="1"/>
  <c r="E11"/>
  <c r="G11" s="1"/>
  <c r="I11" s="1"/>
  <c r="K11" s="1"/>
  <c r="E8"/>
  <c r="G8" s="1"/>
  <c r="I8" s="1"/>
  <c r="K8" s="1"/>
  <c r="E6"/>
  <c r="G6" s="1"/>
  <c r="D193" i="1"/>
  <c r="D7" i="10"/>
  <c r="D5" s="1"/>
  <c r="D189" i="1" s="1"/>
  <c r="C23" i="41"/>
  <c r="C22"/>
  <c r="C19"/>
  <c r="C18"/>
  <c r="M11" i="11" l="1"/>
  <c r="I18"/>
  <c r="I11"/>
  <c r="L20" i="16"/>
  <c r="N20" s="1"/>
  <c r="I15" i="10"/>
  <c r="K15" s="1"/>
  <c r="I6"/>
  <c r="K6" s="1"/>
  <c r="L19" i="16"/>
  <c r="N19" s="1"/>
  <c r="I16" i="10"/>
  <c r="K16" s="1"/>
  <c r="P24" i="7"/>
  <c r="M168"/>
  <c r="J18" i="41" s="1"/>
  <c r="G21" i="10"/>
  <c r="E20"/>
  <c r="G7"/>
  <c r="I7" s="1"/>
  <c r="K7" s="1"/>
  <c r="Q9" i="2"/>
  <c r="D27" i="10"/>
  <c r="E193" i="1"/>
  <c r="O168" i="7" l="1"/>
  <c r="M18" i="11"/>
  <c r="L18" i="16"/>
  <c r="N18" s="1"/>
  <c r="G20" i="10"/>
  <c r="I193" i="1" s="1"/>
  <c r="I21" i="10"/>
  <c r="G5"/>
  <c r="I189" i="1" s="1"/>
  <c r="I5" i="10"/>
  <c r="K5" s="1"/>
  <c r="G193" i="1"/>
  <c r="E27" i="10"/>
  <c r="I20" l="1"/>
  <c r="I27" s="1"/>
  <c r="K27" s="1"/>
  <c r="G27"/>
  <c r="J15" i="16"/>
  <c r="L15" s="1"/>
  <c r="N15" s="1"/>
  <c r="J16"/>
  <c r="L16" s="1"/>
  <c r="N16" s="1"/>
  <c r="J17"/>
  <c r="L17" s="1"/>
  <c r="J14"/>
  <c r="L14" s="1"/>
  <c r="N14" s="1"/>
  <c r="J10"/>
  <c r="L10" s="1"/>
  <c r="N10" s="1"/>
  <c r="J11"/>
  <c r="L11" s="1"/>
  <c r="J12"/>
  <c r="L12" s="1"/>
  <c r="N12" s="1"/>
  <c r="J9"/>
  <c r="L9" s="1"/>
  <c r="N9" s="1"/>
  <c r="J5"/>
  <c r="L5" s="1"/>
  <c r="J6"/>
  <c r="L6" s="1"/>
  <c r="J7"/>
  <c r="L7" s="1"/>
  <c r="J4"/>
  <c r="L4" s="1"/>
  <c r="D20"/>
  <c r="E20"/>
  <c r="F20"/>
  <c r="G20"/>
  <c r="H20"/>
  <c r="I18"/>
  <c r="D19"/>
  <c r="E19"/>
  <c r="F19"/>
  <c r="G19"/>
  <c r="H19"/>
  <c r="D13"/>
  <c r="E13"/>
  <c r="F13"/>
  <c r="G13"/>
  <c r="H13"/>
  <c r="I13"/>
  <c r="D8"/>
  <c r="E8"/>
  <c r="G8"/>
  <c r="I8"/>
  <c r="U6" i="35"/>
  <c r="U7"/>
  <c r="U8"/>
  <c r="U9"/>
  <c r="U10"/>
  <c r="U5"/>
  <c r="K6"/>
  <c r="K7"/>
  <c r="K8"/>
  <c r="K9"/>
  <c r="K10"/>
  <c r="K5"/>
  <c r="J12"/>
  <c r="W6" i="13"/>
  <c r="W7"/>
  <c r="W8"/>
  <c r="W9"/>
  <c r="W10"/>
  <c r="W5"/>
  <c r="K6"/>
  <c r="M6" s="1"/>
  <c r="O6" s="1"/>
  <c r="Q6" s="1"/>
  <c r="S6" s="1"/>
  <c r="K7"/>
  <c r="M7" s="1"/>
  <c r="O7" s="1"/>
  <c r="Q7" s="1"/>
  <c r="S7" s="1"/>
  <c r="K8"/>
  <c r="M8" s="1"/>
  <c r="O8" s="1"/>
  <c r="K9"/>
  <c r="M9" s="1"/>
  <c r="O9" s="1"/>
  <c r="Q9" s="1"/>
  <c r="S9" s="1"/>
  <c r="K10"/>
  <c r="M10" s="1"/>
  <c r="O10" s="1"/>
  <c r="Q10" s="1"/>
  <c r="S10" s="1"/>
  <c r="K5"/>
  <c r="J13"/>
  <c r="Q20" i="11"/>
  <c r="Q21"/>
  <c r="Q22"/>
  <c r="Q24"/>
  <c r="Q25"/>
  <c r="Q26"/>
  <c r="Q28"/>
  <c r="Q29"/>
  <c r="Q30"/>
  <c r="Q44"/>
  <c r="Q45"/>
  <c r="Q57"/>
  <c r="Q72"/>
  <c r="Q73"/>
  <c r="Q74"/>
  <c r="Q75"/>
  <c r="Q4"/>
  <c r="E82"/>
  <c r="E81"/>
  <c r="G81" s="1"/>
  <c r="I81" s="1"/>
  <c r="G75"/>
  <c r="G74"/>
  <c r="G73"/>
  <c r="I73" s="1"/>
  <c r="E45"/>
  <c r="G44"/>
  <c r="I44" s="1"/>
  <c r="E25"/>
  <c r="G26"/>
  <c r="G28"/>
  <c r="E29"/>
  <c r="G29" s="1"/>
  <c r="E30"/>
  <c r="G30" s="1"/>
  <c r="G24"/>
  <c r="E22"/>
  <c r="E21"/>
  <c r="G21" s="1"/>
  <c r="G20"/>
  <c r="D84"/>
  <c r="D79"/>
  <c r="D192" i="1" s="1"/>
  <c r="D23" i="11"/>
  <c r="D42" s="1"/>
  <c r="Q7" i="32"/>
  <c r="Q8"/>
  <c r="Q9"/>
  <c r="Q12"/>
  <c r="Q13"/>
  <c r="Q14"/>
  <c r="Q15"/>
  <c r="Q16"/>
  <c r="Q20"/>
  <c r="Q21"/>
  <c r="Q22"/>
  <c r="Q23"/>
  <c r="Q24"/>
  <c r="Q28"/>
  <c r="Q29"/>
  <c r="Q30"/>
  <c r="Q31"/>
  <c r="Q32"/>
  <c r="Q39"/>
  <c r="Q54"/>
  <c r="Q55"/>
  <c r="Q56"/>
  <c r="Q60"/>
  <c r="Q61"/>
  <c r="Q62"/>
  <c r="Q63"/>
  <c r="Q64"/>
  <c r="Q68"/>
  <c r="Q69"/>
  <c r="Q70"/>
  <c r="Q71"/>
  <c r="Q72"/>
  <c r="G76"/>
  <c r="I76" s="1"/>
  <c r="K76" s="1"/>
  <c r="G77"/>
  <c r="I77" s="1"/>
  <c r="K77" s="1"/>
  <c r="E78"/>
  <c r="G78" s="1"/>
  <c r="I78" s="1"/>
  <c r="K78" s="1"/>
  <c r="E79"/>
  <c r="G79" s="1"/>
  <c r="I79" s="1"/>
  <c r="K79" s="1"/>
  <c r="G75"/>
  <c r="I75" s="1"/>
  <c r="K75" s="1"/>
  <c r="E69"/>
  <c r="G69" s="1"/>
  <c r="I69" s="1"/>
  <c r="K69" s="1"/>
  <c r="M69" s="1"/>
  <c r="E70"/>
  <c r="G70" s="1"/>
  <c r="I70" s="1"/>
  <c r="K70" s="1"/>
  <c r="M70" s="1"/>
  <c r="E71"/>
  <c r="G71" s="1"/>
  <c r="I71" s="1"/>
  <c r="K71" s="1"/>
  <c r="E72"/>
  <c r="G72" s="1"/>
  <c r="I72" s="1"/>
  <c r="K72" s="1"/>
  <c r="E68"/>
  <c r="E61"/>
  <c r="G61" s="1"/>
  <c r="I61" s="1"/>
  <c r="K61" s="1"/>
  <c r="M61" s="1"/>
  <c r="E62"/>
  <c r="G62" s="1"/>
  <c r="I62" s="1"/>
  <c r="K62" s="1"/>
  <c r="E63"/>
  <c r="G63" s="1"/>
  <c r="I63" s="1"/>
  <c r="K63" s="1"/>
  <c r="E64"/>
  <c r="G64" s="1"/>
  <c r="I64" s="1"/>
  <c r="K64" s="1"/>
  <c r="E60"/>
  <c r="G60" s="1"/>
  <c r="I60" s="1"/>
  <c r="K60" s="1"/>
  <c r="M60" s="1"/>
  <c r="E53"/>
  <c r="E54"/>
  <c r="G54" s="1"/>
  <c r="I54" s="1"/>
  <c r="K54" s="1"/>
  <c r="M54" s="1"/>
  <c r="E55"/>
  <c r="G55" s="1"/>
  <c r="I55" s="1"/>
  <c r="K55" s="1"/>
  <c r="E56"/>
  <c r="G56" s="1"/>
  <c r="I56" s="1"/>
  <c r="K56" s="1"/>
  <c r="E52"/>
  <c r="G52" s="1"/>
  <c r="I52" s="1"/>
  <c r="K52" s="1"/>
  <c r="M52" s="1"/>
  <c r="G44"/>
  <c r="I44" s="1"/>
  <c r="K44" s="1"/>
  <c r="E46"/>
  <c r="G46" s="1"/>
  <c r="I46" s="1"/>
  <c r="K46" s="1"/>
  <c r="E47"/>
  <c r="G47" s="1"/>
  <c r="I47" s="1"/>
  <c r="K47" s="1"/>
  <c r="G43"/>
  <c r="I43" s="1"/>
  <c r="K43" s="1"/>
  <c r="E36"/>
  <c r="G36" s="1"/>
  <c r="I36" s="1"/>
  <c r="K36" s="1"/>
  <c r="E37"/>
  <c r="G37" s="1"/>
  <c r="I37" s="1"/>
  <c r="K37" s="1"/>
  <c r="M37" s="1"/>
  <c r="E39"/>
  <c r="G39" s="1"/>
  <c r="I39" s="1"/>
  <c r="K39" s="1"/>
  <c r="E35"/>
  <c r="G35" s="1"/>
  <c r="I35" s="1"/>
  <c r="K35" s="1"/>
  <c r="E29"/>
  <c r="G29" s="1"/>
  <c r="I29" s="1"/>
  <c r="K29" s="1"/>
  <c r="E30"/>
  <c r="G30" s="1"/>
  <c r="I30" s="1"/>
  <c r="K30" s="1"/>
  <c r="E31"/>
  <c r="G31" s="1"/>
  <c r="I31" s="1"/>
  <c r="K31" s="1"/>
  <c r="E32"/>
  <c r="G32" s="1"/>
  <c r="I32" s="1"/>
  <c r="K32" s="1"/>
  <c r="E28"/>
  <c r="G28" s="1"/>
  <c r="I28" s="1"/>
  <c r="K28" s="1"/>
  <c r="E21"/>
  <c r="G21" s="1"/>
  <c r="I21" s="1"/>
  <c r="K21" s="1"/>
  <c r="M21" s="1"/>
  <c r="E22"/>
  <c r="G22" s="1"/>
  <c r="I22" s="1"/>
  <c r="K22" s="1"/>
  <c r="M22" s="1"/>
  <c r="E23"/>
  <c r="G23" s="1"/>
  <c r="I23" s="1"/>
  <c r="K23" s="1"/>
  <c r="E24"/>
  <c r="G24" s="1"/>
  <c r="I24" s="1"/>
  <c r="K24" s="1"/>
  <c r="E20"/>
  <c r="G20" s="1"/>
  <c r="I20" s="1"/>
  <c r="K20" s="1"/>
  <c r="M20" s="1"/>
  <c r="E13"/>
  <c r="G13" s="1"/>
  <c r="I13" s="1"/>
  <c r="K13" s="1"/>
  <c r="E14"/>
  <c r="G14" s="1"/>
  <c r="I14" s="1"/>
  <c r="K14" s="1"/>
  <c r="M14" s="1"/>
  <c r="E15"/>
  <c r="G15" s="1"/>
  <c r="I15" s="1"/>
  <c r="K15" s="1"/>
  <c r="E16"/>
  <c r="G16" s="1"/>
  <c r="I16" s="1"/>
  <c r="K16" s="1"/>
  <c r="E12"/>
  <c r="G12" s="1"/>
  <c r="I12" s="1"/>
  <c r="K12" s="1"/>
  <c r="E6"/>
  <c r="E7"/>
  <c r="G7" s="1"/>
  <c r="I7" s="1"/>
  <c r="K7" s="1"/>
  <c r="M7" s="1"/>
  <c r="E8"/>
  <c r="G8" s="1"/>
  <c r="I8" s="1"/>
  <c r="E9"/>
  <c r="G9" s="1"/>
  <c r="I9" s="1"/>
  <c r="K9" s="1"/>
  <c r="E5"/>
  <c r="G5" s="1"/>
  <c r="I5" s="1"/>
  <c r="K5" s="1"/>
  <c r="M5" s="1"/>
  <c r="D90"/>
  <c r="Q13" i="2" s="1"/>
  <c r="J25" i="17" s="1"/>
  <c r="D85" i="32"/>
  <c r="D84"/>
  <c r="D83"/>
  <c r="D82"/>
  <c r="D80"/>
  <c r="D65"/>
  <c r="D40"/>
  <c r="D33"/>
  <c r="Q6" i="1"/>
  <c r="Q7"/>
  <c r="Q8"/>
  <c r="Q11"/>
  <c r="Q12"/>
  <c r="Q13"/>
  <c r="Q14"/>
  <c r="Q17"/>
  <c r="Q18"/>
  <c r="Q19"/>
  <c r="Q20"/>
  <c r="Q23"/>
  <c r="Q24"/>
  <c r="Q25"/>
  <c r="Q26"/>
  <c r="Q29"/>
  <c r="Q30"/>
  <c r="Q31"/>
  <c r="Q32"/>
  <c r="Q35"/>
  <c r="Q36"/>
  <c r="Q38"/>
  <c r="Q41"/>
  <c r="Q42"/>
  <c r="Q43"/>
  <c r="Q44"/>
  <c r="Q47"/>
  <c r="Q48"/>
  <c r="Q49"/>
  <c r="Q50"/>
  <c r="Q53"/>
  <c r="Q54"/>
  <c r="Q55"/>
  <c r="Q56"/>
  <c r="Q59"/>
  <c r="Q60"/>
  <c r="Q61"/>
  <c r="Q62"/>
  <c r="Q66"/>
  <c r="Q67"/>
  <c r="Q69"/>
  <c r="Q72"/>
  <c r="Q73"/>
  <c r="Q74"/>
  <c r="Q75"/>
  <c r="Q81"/>
  <c r="Q82"/>
  <c r="Q85"/>
  <c r="Q86"/>
  <c r="Q87"/>
  <c r="Q88"/>
  <c r="Q91"/>
  <c r="Q92"/>
  <c r="Q93"/>
  <c r="Q98"/>
  <c r="Q99"/>
  <c r="Q100"/>
  <c r="Q101"/>
  <c r="Q105"/>
  <c r="Q106"/>
  <c r="Q107"/>
  <c r="Q108"/>
  <c r="Q111"/>
  <c r="Q112"/>
  <c r="Q113"/>
  <c r="Q114"/>
  <c r="Q118"/>
  <c r="Q119"/>
  <c r="Q120"/>
  <c r="Q121"/>
  <c r="Q124"/>
  <c r="Q125"/>
  <c r="Q126"/>
  <c r="Q127"/>
  <c r="Q130"/>
  <c r="Q131"/>
  <c r="Q132"/>
  <c r="Q133"/>
  <c r="Q143"/>
  <c r="Q144"/>
  <c r="Q145"/>
  <c r="Q146"/>
  <c r="Q195"/>
  <c r="Q196"/>
  <c r="Q5"/>
  <c r="E144"/>
  <c r="G144" s="1"/>
  <c r="I144" s="1"/>
  <c r="K144" s="1"/>
  <c r="E145"/>
  <c r="G145" s="1"/>
  <c r="I145" s="1"/>
  <c r="K145" s="1"/>
  <c r="M145" s="1"/>
  <c r="E146"/>
  <c r="G146" s="1"/>
  <c r="I146" s="1"/>
  <c r="K146" s="1"/>
  <c r="E143"/>
  <c r="G143" s="1"/>
  <c r="I143" s="1"/>
  <c r="K143" s="1"/>
  <c r="E131"/>
  <c r="G131" s="1"/>
  <c r="I131" s="1"/>
  <c r="K131" s="1"/>
  <c r="E132"/>
  <c r="G132" s="1"/>
  <c r="I132" s="1"/>
  <c r="K132" s="1"/>
  <c r="M132" s="1"/>
  <c r="E133"/>
  <c r="G133" s="1"/>
  <c r="I133" s="1"/>
  <c r="K133" s="1"/>
  <c r="E130"/>
  <c r="G130" s="1"/>
  <c r="I130" s="1"/>
  <c r="K130" s="1"/>
  <c r="E125"/>
  <c r="G125" s="1"/>
  <c r="I125" s="1"/>
  <c r="K125" s="1"/>
  <c r="E126"/>
  <c r="G126" s="1"/>
  <c r="I126" s="1"/>
  <c r="K126" s="1"/>
  <c r="M126" s="1"/>
  <c r="E127"/>
  <c r="G127" s="1"/>
  <c r="I127" s="1"/>
  <c r="K127" s="1"/>
  <c r="E124"/>
  <c r="G124" s="1"/>
  <c r="I124" s="1"/>
  <c r="K124" s="1"/>
  <c r="E119"/>
  <c r="G119" s="1"/>
  <c r="I119" s="1"/>
  <c r="K119" s="1"/>
  <c r="E120"/>
  <c r="G120" s="1"/>
  <c r="I120" s="1"/>
  <c r="K120" s="1"/>
  <c r="M120" s="1"/>
  <c r="E121"/>
  <c r="G121" s="1"/>
  <c r="I121" s="1"/>
  <c r="K121" s="1"/>
  <c r="E118"/>
  <c r="G118" s="1"/>
  <c r="I118" s="1"/>
  <c r="K118" s="1"/>
  <c r="E112"/>
  <c r="G112" s="1"/>
  <c r="I112" s="1"/>
  <c r="K112" s="1"/>
  <c r="M112" s="1"/>
  <c r="G113"/>
  <c r="I113" s="1"/>
  <c r="K113" s="1"/>
  <c r="M113" s="1"/>
  <c r="E114"/>
  <c r="G114" s="1"/>
  <c r="I114" s="1"/>
  <c r="K114" s="1"/>
  <c r="E111"/>
  <c r="G111" s="1"/>
  <c r="I111" s="1"/>
  <c r="K111" s="1"/>
  <c r="M111" s="1"/>
  <c r="E106"/>
  <c r="G106" s="1"/>
  <c r="I106" s="1"/>
  <c r="K106" s="1"/>
  <c r="E107"/>
  <c r="G107" s="1"/>
  <c r="I107" s="1"/>
  <c r="K107" s="1"/>
  <c r="M107" s="1"/>
  <c r="E108"/>
  <c r="G108" s="1"/>
  <c r="I108" s="1"/>
  <c r="K108" s="1"/>
  <c r="E105"/>
  <c r="G105" s="1"/>
  <c r="I105" s="1"/>
  <c r="K105" s="1"/>
  <c r="E99"/>
  <c r="G99" s="1"/>
  <c r="I99" s="1"/>
  <c r="K99" s="1"/>
  <c r="M99" s="1"/>
  <c r="E100"/>
  <c r="G100" s="1"/>
  <c r="I100" s="1"/>
  <c r="K100" s="1"/>
  <c r="M100" s="1"/>
  <c r="E101"/>
  <c r="G101" s="1"/>
  <c r="I101" s="1"/>
  <c r="K101" s="1"/>
  <c r="E98"/>
  <c r="G98" s="1"/>
  <c r="I98" s="1"/>
  <c r="K98" s="1"/>
  <c r="M98" s="1"/>
  <c r="E92"/>
  <c r="G92" s="1"/>
  <c r="I92" s="1"/>
  <c r="K92" s="1"/>
  <c r="E93"/>
  <c r="G93" s="1"/>
  <c r="I93" s="1"/>
  <c r="K93" s="1"/>
  <c r="M93" s="1"/>
  <c r="E91"/>
  <c r="G91" s="1"/>
  <c r="I91" s="1"/>
  <c r="K91" s="1"/>
  <c r="E86"/>
  <c r="G86" s="1"/>
  <c r="I86" s="1"/>
  <c r="K86" s="1"/>
  <c r="G87"/>
  <c r="I87" s="1"/>
  <c r="K87" s="1"/>
  <c r="M87" s="1"/>
  <c r="E88"/>
  <c r="G88" s="1"/>
  <c r="I88" s="1"/>
  <c r="K88" s="1"/>
  <c r="E85"/>
  <c r="G85" s="1"/>
  <c r="I85" s="1"/>
  <c r="K85" s="1"/>
  <c r="E81"/>
  <c r="G81" s="1"/>
  <c r="I81" s="1"/>
  <c r="K81" s="1"/>
  <c r="M81" s="1"/>
  <c r="E82"/>
  <c r="G82" s="1"/>
  <c r="I82" s="1"/>
  <c r="K82" s="1"/>
  <c r="E73"/>
  <c r="G73" s="1"/>
  <c r="I73" s="1"/>
  <c r="K73" s="1"/>
  <c r="E74"/>
  <c r="G74" s="1"/>
  <c r="I74" s="1"/>
  <c r="K74" s="1"/>
  <c r="M74" s="1"/>
  <c r="E75"/>
  <c r="G75" s="1"/>
  <c r="I75" s="1"/>
  <c r="K75" s="1"/>
  <c r="E72"/>
  <c r="G72" s="1"/>
  <c r="I72" s="1"/>
  <c r="K72" s="1"/>
  <c r="E67"/>
  <c r="G67" s="1"/>
  <c r="I67" s="1"/>
  <c r="K67" s="1"/>
  <c r="E68"/>
  <c r="G68" s="1"/>
  <c r="E69"/>
  <c r="G69" s="1"/>
  <c r="I69" s="1"/>
  <c r="K69" s="1"/>
  <c r="E66"/>
  <c r="G66" s="1"/>
  <c r="I66" s="1"/>
  <c r="K66" s="1"/>
  <c r="E60"/>
  <c r="G60" s="1"/>
  <c r="I60" s="1"/>
  <c r="K60" s="1"/>
  <c r="E61"/>
  <c r="G61" s="1"/>
  <c r="I61" s="1"/>
  <c r="K61" s="1"/>
  <c r="M61" s="1"/>
  <c r="E62"/>
  <c r="G62" s="1"/>
  <c r="I62" s="1"/>
  <c r="K62" s="1"/>
  <c r="E59"/>
  <c r="G59" s="1"/>
  <c r="I59" s="1"/>
  <c r="K59" s="1"/>
  <c r="E54"/>
  <c r="G54" s="1"/>
  <c r="I54" s="1"/>
  <c r="K54" s="1"/>
  <c r="E55"/>
  <c r="G55" s="1"/>
  <c r="I55" s="1"/>
  <c r="K55" s="1"/>
  <c r="M55" s="1"/>
  <c r="E56"/>
  <c r="G56" s="1"/>
  <c r="I56" s="1"/>
  <c r="K56" s="1"/>
  <c r="E53"/>
  <c r="G53" s="1"/>
  <c r="I53" s="1"/>
  <c r="K53" s="1"/>
  <c r="E48"/>
  <c r="G48" s="1"/>
  <c r="I48" s="1"/>
  <c r="K48" s="1"/>
  <c r="E50"/>
  <c r="G50" s="1"/>
  <c r="I50" s="1"/>
  <c r="K50" s="1"/>
  <c r="E47"/>
  <c r="G47" s="1"/>
  <c r="I47" s="1"/>
  <c r="K47" s="1"/>
  <c r="E42"/>
  <c r="G42" s="1"/>
  <c r="I42" s="1"/>
  <c r="K42" s="1"/>
  <c r="E43"/>
  <c r="G43" s="1"/>
  <c r="I43" s="1"/>
  <c r="K43" s="1"/>
  <c r="M43" s="1"/>
  <c r="E44"/>
  <c r="G44" s="1"/>
  <c r="I44" s="1"/>
  <c r="K44" s="1"/>
  <c r="E41"/>
  <c r="G41" s="1"/>
  <c r="I41" s="1"/>
  <c r="K41" s="1"/>
  <c r="E36"/>
  <c r="G36" s="1"/>
  <c r="I36" s="1"/>
  <c r="K36" s="1"/>
  <c r="E38"/>
  <c r="G38" s="1"/>
  <c r="I38" s="1"/>
  <c r="K38" s="1"/>
  <c r="G35"/>
  <c r="I35" s="1"/>
  <c r="K35" s="1"/>
  <c r="M35" s="1"/>
  <c r="E30"/>
  <c r="G30" s="1"/>
  <c r="I30" s="1"/>
  <c r="K30" s="1"/>
  <c r="E31"/>
  <c r="G31" s="1"/>
  <c r="I31" s="1"/>
  <c r="K31" s="1"/>
  <c r="M31" s="1"/>
  <c r="E32"/>
  <c r="G32" s="1"/>
  <c r="I32" s="1"/>
  <c r="K32" s="1"/>
  <c r="E29"/>
  <c r="G29" s="1"/>
  <c r="I29" s="1"/>
  <c r="K29" s="1"/>
  <c r="E24"/>
  <c r="G24" s="1"/>
  <c r="I24" s="1"/>
  <c r="K24" s="1"/>
  <c r="E25"/>
  <c r="G25" s="1"/>
  <c r="I25" s="1"/>
  <c r="K25" s="1"/>
  <c r="M25" s="1"/>
  <c r="E26"/>
  <c r="G26" s="1"/>
  <c r="I26" s="1"/>
  <c r="K26" s="1"/>
  <c r="E23"/>
  <c r="G23" s="1"/>
  <c r="I23" s="1"/>
  <c r="K23" s="1"/>
  <c r="E18"/>
  <c r="G18" s="1"/>
  <c r="I18" s="1"/>
  <c r="K18" s="1"/>
  <c r="E19"/>
  <c r="G19" s="1"/>
  <c r="I19" s="1"/>
  <c r="K19" s="1"/>
  <c r="M19" s="1"/>
  <c r="E20"/>
  <c r="G20" s="1"/>
  <c r="I20" s="1"/>
  <c r="K20" s="1"/>
  <c r="E17"/>
  <c r="G17" s="1"/>
  <c r="I17" s="1"/>
  <c r="K17" s="1"/>
  <c r="E12"/>
  <c r="G12" s="1"/>
  <c r="I12" s="1"/>
  <c r="K12" s="1"/>
  <c r="E13"/>
  <c r="G13" s="1"/>
  <c r="I13" s="1"/>
  <c r="K13" s="1"/>
  <c r="M13" s="1"/>
  <c r="E14"/>
  <c r="G14" s="1"/>
  <c r="I14" s="1"/>
  <c r="K14" s="1"/>
  <c r="E11"/>
  <c r="G11" s="1"/>
  <c r="I11" s="1"/>
  <c r="K11" s="1"/>
  <c r="E6"/>
  <c r="E7"/>
  <c r="E8"/>
  <c r="G8" s="1"/>
  <c r="I8" s="1"/>
  <c r="K8" s="1"/>
  <c r="E5"/>
  <c r="D197"/>
  <c r="E197"/>
  <c r="D188"/>
  <c r="D187"/>
  <c r="D186"/>
  <c r="D185"/>
  <c r="D147"/>
  <c r="D134"/>
  <c r="D128"/>
  <c r="D122"/>
  <c r="D115"/>
  <c r="D109"/>
  <c r="D102"/>
  <c r="D95"/>
  <c r="D89"/>
  <c r="D83"/>
  <c r="D76"/>
  <c r="D70"/>
  <c r="D63"/>
  <c r="D57"/>
  <c r="D51"/>
  <c r="D45"/>
  <c r="D39"/>
  <c r="D33"/>
  <c r="D27"/>
  <c r="D21"/>
  <c r="D15"/>
  <c r="D9"/>
  <c r="U134" i="6"/>
  <c r="U135"/>
  <c r="U136"/>
  <c r="U137"/>
  <c r="U138"/>
  <c r="U140"/>
  <c r="U141"/>
  <c r="U142"/>
  <c r="U144"/>
  <c r="E170"/>
  <c r="G170" s="1"/>
  <c r="I170" s="1"/>
  <c r="E167"/>
  <c r="E168"/>
  <c r="E166"/>
  <c r="E161"/>
  <c r="E162"/>
  <c r="E163"/>
  <c r="E164"/>
  <c r="E160"/>
  <c r="E157"/>
  <c r="G157" s="1"/>
  <c r="I157" s="1"/>
  <c r="E154"/>
  <c r="E155"/>
  <c r="E153"/>
  <c r="E148"/>
  <c r="E149"/>
  <c r="E150"/>
  <c r="E151"/>
  <c r="E147"/>
  <c r="E144"/>
  <c r="G144" s="1"/>
  <c r="I144" s="1"/>
  <c r="K144" s="1"/>
  <c r="M144" s="1"/>
  <c r="E141"/>
  <c r="G141" s="1"/>
  <c r="I141" s="1"/>
  <c r="K141" s="1"/>
  <c r="M141" s="1"/>
  <c r="O141" s="1"/>
  <c r="E142"/>
  <c r="G142" s="1"/>
  <c r="I142" s="1"/>
  <c r="K142" s="1"/>
  <c r="M142" s="1"/>
  <c r="E140"/>
  <c r="G140" s="1"/>
  <c r="I140" s="1"/>
  <c r="K140" s="1"/>
  <c r="E135"/>
  <c r="G135" s="1"/>
  <c r="I135" s="1"/>
  <c r="K135" s="1"/>
  <c r="M135" s="1"/>
  <c r="O135" s="1"/>
  <c r="E136"/>
  <c r="G136" s="1"/>
  <c r="I136" s="1"/>
  <c r="K136" s="1"/>
  <c r="M136" s="1"/>
  <c r="O136" s="1"/>
  <c r="E137"/>
  <c r="G137" s="1"/>
  <c r="I137" s="1"/>
  <c r="K137" s="1"/>
  <c r="M137" s="1"/>
  <c r="E138"/>
  <c r="G138" s="1"/>
  <c r="I138" s="1"/>
  <c r="K138" s="1"/>
  <c r="M138" s="1"/>
  <c r="E134"/>
  <c r="G134" s="1"/>
  <c r="I134" s="1"/>
  <c r="K134" s="1"/>
  <c r="E131"/>
  <c r="G131" s="1"/>
  <c r="I131" s="1"/>
  <c r="E128"/>
  <c r="E129"/>
  <c r="E127"/>
  <c r="E122"/>
  <c r="E123"/>
  <c r="E124"/>
  <c r="E125"/>
  <c r="E121"/>
  <c r="E118"/>
  <c r="G118" s="1"/>
  <c r="I118" s="1"/>
  <c r="K118" s="1"/>
  <c r="E115"/>
  <c r="G115" s="1"/>
  <c r="I115" s="1"/>
  <c r="E116"/>
  <c r="G116" s="1"/>
  <c r="I116" s="1"/>
  <c r="K116" s="1"/>
  <c r="E114"/>
  <c r="E109"/>
  <c r="E110"/>
  <c r="E111"/>
  <c r="E112"/>
  <c r="E108"/>
  <c r="E105"/>
  <c r="G105" s="1"/>
  <c r="I105" s="1"/>
  <c r="K105" s="1"/>
  <c r="E102"/>
  <c r="E103"/>
  <c r="E101"/>
  <c r="E96"/>
  <c r="E97"/>
  <c r="E98"/>
  <c r="G98" s="1"/>
  <c r="I98" s="1"/>
  <c r="K98" s="1"/>
  <c r="E99"/>
  <c r="G99" s="1"/>
  <c r="I99" s="1"/>
  <c r="K99" s="1"/>
  <c r="E95"/>
  <c r="E92"/>
  <c r="E89"/>
  <c r="E90"/>
  <c r="E88"/>
  <c r="E83"/>
  <c r="E84"/>
  <c r="E85"/>
  <c r="E86"/>
  <c r="E82"/>
  <c r="E79"/>
  <c r="G79" s="1"/>
  <c r="I79" s="1"/>
  <c r="E76"/>
  <c r="G76" s="1"/>
  <c r="I76" s="1"/>
  <c r="E77"/>
  <c r="G77" s="1"/>
  <c r="I77" s="1"/>
  <c r="E75"/>
  <c r="G75" s="1"/>
  <c r="I75" s="1"/>
  <c r="K75" s="1"/>
  <c r="E70"/>
  <c r="G70" s="1"/>
  <c r="E71"/>
  <c r="G71" s="1"/>
  <c r="I71" s="1"/>
  <c r="K71" s="1"/>
  <c r="E72"/>
  <c r="G72" s="1"/>
  <c r="I72" s="1"/>
  <c r="E73"/>
  <c r="G73" s="1"/>
  <c r="I73" s="1"/>
  <c r="E69"/>
  <c r="G69" s="1"/>
  <c r="I69" s="1"/>
  <c r="K69" s="1"/>
  <c r="E66"/>
  <c r="G66" s="1"/>
  <c r="I66" s="1"/>
  <c r="E63"/>
  <c r="G63" s="1"/>
  <c r="I63" s="1"/>
  <c r="E64"/>
  <c r="G64" s="1"/>
  <c r="I64" s="1"/>
  <c r="E62"/>
  <c r="G62" s="1"/>
  <c r="I62" s="1"/>
  <c r="E57"/>
  <c r="G57" s="1"/>
  <c r="E58"/>
  <c r="G58" s="1"/>
  <c r="I58" s="1"/>
  <c r="E59"/>
  <c r="G59" s="1"/>
  <c r="I59" s="1"/>
  <c r="E60"/>
  <c r="G60" s="1"/>
  <c r="I60" s="1"/>
  <c r="E56"/>
  <c r="G56" s="1"/>
  <c r="E53"/>
  <c r="G53" s="1"/>
  <c r="I53" s="1"/>
  <c r="E50"/>
  <c r="G50" s="1"/>
  <c r="I50" s="1"/>
  <c r="E51"/>
  <c r="G51" s="1"/>
  <c r="I51" s="1"/>
  <c r="E49"/>
  <c r="G49" s="1"/>
  <c r="I49" s="1"/>
  <c r="E44"/>
  <c r="G44" s="1"/>
  <c r="E45"/>
  <c r="G45" s="1"/>
  <c r="I45" s="1"/>
  <c r="E46"/>
  <c r="G46" s="1"/>
  <c r="I46" s="1"/>
  <c r="E47"/>
  <c r="G47" s="1"/>
  <c r="I47" s="1"/>
  <c r="K47" s="1"/>
  <c r="E43"/>
  <c r="G43" s="1"/>
  <c r="E40"/>
  <c r="G40" s="1"/>
  <c r="I40" s="1"/>
  <c r="U40" s="1"/>
  <c r="E37"/>
  <c r="G37" s="1"/>
  <c r="I37" s="1"/>
  <c r="E38"/>
  <c r="G38" s="1"/>
  <c r="I38" s="1"/>
  <c r="E36"/>
  <c r="G36" s="1"/>
  <c r="I36" s="1"/>
  <c r="E31"/>
  <c r="G31" s="1"/>
  <c r="E32"/>
  <c r="G32" s="1"/>
  <c r="I32" s="1"/>
  <c r="E33"/>
  <c r="G33" s="1"/>
  <c r="I33" s="1"/>
  <c r="K33" s="1"/>
  <c r="E34"/>
  <c r="G34" s="1"/>
  <c r="I34" s="1"/>
  <c r="E30"/>
  <c r="G30" s="1"/>
  <c r="E27"/>
  <c r="G27" s="1"/>
  <c r="I27" s="1"/>
  <c r="E24"/>
  <c r="G24" s="1"/>
  <c r="E25"/>
  <c r="G25" s="1"/>
  <c r="I25" s="1"/>
  <c r="E23"/>
  <c r="G23" s="1"/>
  <c r="I23" s="1"/>
  <c r="E18"/>
  <c r="G18" s="1"/>
  <c r="E19"/>
  <c r="G19" s="1"/>
  <c r="I19" s="1"/>
  <c r="E20"/>
  <c r="G20" s="1"/>
  <c r="I20" s="1"/>
  <c r="E21"/>
  <c r="G21" s="1"/>
  <c r="I21" s="1"/>
  <c r="E17"/>
  <c r="G17" s="1"/>
  <c r="I17" s="1"/>
  <c r="K17" s="1"/>
  <c r="E14"/>
  <c r="E11"/>
  <c r="E12"/>
  <c r="E10"/>
  <c r="E5"/>
  <c r="E6"/>
  <c r="E7"/>
  <c r="E8"/>
  <c r="E4"/>
  <c r="D169"/>
  <c r="D165"/>
  <c r="D156"/>
  <c r="D152"/>
  <c r="D143"/>
  <c r="D139"/>
  <c r="D130"/>
  <c r="D126"/>
  <c r="D117"/>
  <c r="D113"/>
  <c r="D104"/>
  <c r="D100"/>
  <c r="D93"/>
  <c r="D78"/>
  <c r="D74"/>
  <c r="D65"/>
  <c r="D61"/>
  <c r="D52"/>
  <c r="D48"/>
  <c r="D39"/>
  <c r="D35"/>
  <c r="D26"/>
  <c r="D22"/>
  <c r="D13"/>
  <c r="D9"/>
  <c r="S21" i="30"/>
  <c r="E27"/>
  <c r="E28"/>
  <c r="G28" s="1"/>
  <c r="I28" s="1"/>
  <c r="E21"/>
  <c r="G21" s="1"/>
  <c r="I21" s="1"/>
  <c r="K21" s="1"/>
  <c r="M21" s="1"/>
  <c r="G22"/>
  <c r="I22" s="1"/>
  <c r="K22" s="1"/>
  <c r="M22" s="1"/>
  <c r="E23"/>
  <c r="E18"/>
  <c r="E14"/>
  <c r="G14" s="1"/>
  <c r="I14" s="1"/>
  <c r="K14" s="1"/>
  <c r="M14" s="1"/>
  <c r="E16"/>
  <c r="G16" s="1"/>
  <c r="I16" s="1"/>
  <c r="K16" s="1"/>
  <c r="M16" s="1"/>
  <c r="E13"/>
  <c r="E8"/>
  <c r="G8" s="1"/>
  <c r="I8" s="1"/>
  <c r="K8" s="1"/>
  <c r="E7"/>
  <c r="G7" s="1"/>
  <c r="I7" s="1"/>
  <c r="K7" s="1"/>
  <c r="M7" s="1"/>
  <c r="O7" s="1"/>
  <c r="E4"/>
  <c r="D24"/>
  <c r="D17"/>
  <c r="D12"/>
  <c r="D6"/>
  <c r="D5" s="1"/>
  <c r="E157" i="5"/>
  <c r="E154"/>
  <c r="G151"/>
  <c r="I151" s="1"/>
  <c r="K151" s="1"/>
  <c r="M151" s="1"/>
  <c r="G150"/>
  <c r="I150" s="1"/>
  <c r="K150" s="1"/>
  <c r="M150" s="1"/>
  <c r="G147"/>
  <c r="I147" s="1"/>
  <c r="K147" s="1"/>
  <c r="M147" s="1"/>
  <c r="E148"/>
  <c r="G148" s="1"/>
  <c r="I148" s="1"/>
  <c r="K148" s="1"/>
  <c r="E146"/>
  <c r="G146" s="1"/>
  <c r="I146" s="1"/>
  <c r="K146" s="1"/>
  <c r="M146" s="1"/>
  <c r="D156"/>
  <c r="G143"/>
  <c r="K143" s="1"/>
  <c r="M143" s="1"/>
  <c r="E141"/>
  <c r="G141" s="1"/>
  <c r="I141" s="1"/>
  <c r="K141" s="1"/>
  <c r="E138"/>
  <c r="G136"/>
  <c r="I136" s="1"/>
  <c r="K136" s="1"/>
  <c r="M136" s="1"/>
  <c r="E135"/>
  <c r="E131"/>
  <c r="G131" s="1"/>
  <c r="I131" s="1"/>
  <c r="K131" s="1"/>
  <c r="M131" s="1"/>
  <c r="E132"/>
  <c r="G132" s="1"/>
  <c r="I132" s="1"/>
  <c r="K132" s="1"/>
  <c r="E133"/>
  <c r="G133" s="1"/>
  <c r="I133" s="1"/>
  <c r="K133" s="1"/>
  <c r="E130"/>
  <c r="G130" s="1"/>
  <c r="I130" s="1"/>
  <c r="G125"/>
  <c r="I125" s="1"/>
  <c r="K125" s="1"/>
  <c r="M125" s="1"/>
  <c r="E126"/>
  <c r="G126" s="1"/>
  <c r="I126" s="1"/>
  <c r="K126" s="1"/>
  <c r="M126" s="1"/>
  <c r="G127"/>
  <c r="I127" s="1"/>
  <c r="K127" s="1"/>
  <c r="M127" s="1"/>
  <c r="E118"/>
  <c r="E107"/>
  <c r="G107" s="1"/>
  <c r="I107" s="1"/>
  <c r="K107" s="1"/>
  <c r="M107" s="1"/>
  <c r="E108"/>
  <c r="G108" s="1"/>
  <c r="I108" s="1"/>
  <c r="K108" s="1"/>
  <c r="M108" s="1"/>
  <c r="E109"/>
  <c r="G109" s="1"/>
  <c r="I109" s="1"/>
  <c r="K109" s="1"/>
  <c r="E111"/>
  <c r="G111" s="1"/>
  <c r="I111" s="1"/>
  <c r="K111" s="1"/>
  <c r="E112"/>
  <c r="G112" s="1"/>
  <c r="I112" s="1"/>
  <c r="K112" s="1"/>
  <c r="E113"/>
  <c r="G113" s="1"/>
  <c r="I113" s="1"/>
  <c r="K113" s="1"/>
  <c r="M113" s="1"/>
  <c r="E114"/>
  <c r="G114" s="1"/>
  <c r="I114" s="1"/>
  <c r="K114" s="1"/>
  <c r="M114" s="1"/>
  <c r="E106"/>
  <c r="G104"/>
  <c r="I104" s="1"/>
  <c r="K104" s="1"/>
  <c r="M104" s="1"/>
  <c r="E99"/>
  <c r="E98" s="1"/>
  <c r="D98"/>
  <c r="E93"/>
  <c r="G93" s="1"/>
  <c r="I93" s="1"/>
  <c r="K93" s="1"/>
  <c r="M93" s="1"/>
  <c r="E94"/>
  <c r="G94" s="1"/>
  <c r="I94" s="1"/>
  <c r="K94" s="1"/>
  <c r="M94" s="1"/>
  <c r="E95"/>
  <c r="G95" s="1"/>
  <c r="I95" s="1"/>
  <c r="K95" s="1"/>
  <c r="M95" s="1"/>
  <c r="E92"/>
  <c r="E89"/>
  <c r="G89" s="1"/>
  <c r="I89" s="1"/>
  <c r="K89" s="1"/>
  <c r="M89" s="1"/>
  <c r="E90"/>
  <c r="G90" s="1"/>
  <c r="I90" s="1"/>
  <c r="K90" s="1"/>
  <c r="M90" s="1"/>
  <c r="E88"/>
  <c r="G88" s="1"/>
  <c r="I88" s="1"/>
  <c r="E86"/>
  <c r="G86" s="1"/>
  <c r="I86" s="1"/>
  <c r="K86" s="1"/>
  <c r="M86" s="1"/>
  <c r="E85"/>
  <c r="G85" s="1"/>
  <c r="I85" s="1"/>
  <c r="E80"/>
  <c r="G80" s="1"/>
  <c r="I80" s="1"/>
  <c r="K80" s="1"/>
  <c r="M80" s="1"/>
  <c r="G81"/>
  <c r="I81" s="1"/>
  <c r="K81" s="1"/>
  <c r="M81" s="1"/>
  <c r="E79"/>
  <c r="G79" s="1"/>
  <c r="I79" s="1"/>
  <c r="K79" s="1"/>
  <c r="M79" s="1"/>
  <c r="E71"/>
  <c r="E57"/>
  <c r="E59"/>
  <c r="G59" s="1"/>
  <c r="I59" s="1"/>
  <c r="K59" s="1"/>
  <c r="E54"/>
  <c r="E41"/>
  <c r="E40"/>
  <c r="E35"/>
  <c r="E34"/>
  <c r="E22"/>
  <c r="G22" s="1"/>
  <c r="I22" s="1"/>
  <c r="E23"/>
  <c r="E24"/>
  <c r="E25"/>
  <c r="E26"/>
  <c r="E28"/>
  <c r="E30"/>
  <c r="D33"/>
  <c r="E7"/>
  <c r="E8"/>
  <c r="E9"/>
  <c r="E10"/>
  <c r="E11"/>
  <c r="D13"/>
  <c r="E6"/>
  <c r="S18" i="41"/>
  <c r="U18" s="1"/>
  <c r="W18" s="1"/>
  <c r="S19"/>
  <c r="U19" s="1"/>
  <c r="W19" s="1"/>
  <c r="Y19" s="1"/>
  <c r="S22"/>
  <c r="U22" s="1"/>
  <c r="W22" s="1"/>
  <c r="Y22" s="1"/>
  <c r="S23"/>
  <c r="U23" s="1"/>
  <c r="W23" s="1"/>
  <c r="Y23" s="1"/>
  <c r="S21"/>
  <c r="U21" s="1"/>
  <c r="W21" s="1"/>
  <c r="Y21" s="1"/>
  <c r="C21"/>
  <c r="D10" i="30" l="1"/>
  <c r="K88" i="5"/>
  <c r="M88" s="1"/>
  <c r="Q16" i="30"/>
  <c r="S16" s="1"/>
  <c r="O16"/>
  <c r="Q22"/>
  <c r="O22"/>
  <c r="K28"/>
  <c r="M28" s="1"/>
  <c r="O28" s="1"/>
  <c r="N44" i="32"/>
  <c r="M44"/>
  <c r="Q14" i="30"/>
  <c r="S14" s="1"/>
  <c r="O14"/>
  <c r="N43" i="32"/>
  <c r="M43"/>
  <c r="K193" i="1"/>
  <c r="M193" s="1"/>
  <c r="K20" i="10"/>
  <c r="I21" i="11"/>
  <c r="K21" s="1"/>
  <c r="M21" s="1"/>
  <c r="I29"/>
  <c r="K29" s="1"/>
  <c r="M29" s="1"/>
  <c r="I75"/>
  <c r="K75" s="1"/>
  <c r="M75" s="1"/>
  <c r="I20"/>
  <c r="K20" s="1"/>
  <c r="M20" s="1"/>
  <c r="I30"/>
  <c r="K30" s="1"/>
  <c r="M30" s="1"/>
  <c r="I74"/>
  <c r="K74" s="1"/>
  <c r="M74" s="1"/>
  <c r="I24"/>
  <c r="K24" s="1"/>
  <c r="M24" s="1"/>
  <c r="I26"/>
  <c r="K26" s="1"/>
  <c r="M26" s="1"/>
  <c r="I28"/>
  <c r="K28" s="1"/>
  <c r="M28" s="1"/>
  <c r="K57" i="1"/>
  <c r="M57" s="1"/>
  <c r="K63"/>
  <c r="M63" s="1"/>
  <c r="K76"/>
  <c r="M76" s="1"/>
  <c r="K86" i="32"/>
  <c r="K65"/>
  <c r="M65" s="1"/>
  <c r="K8"/>
  <c r="K15" i="1"/>
  <c r="M15" s="1"/>
  <c r="K21"/>
  <c r="M21" s="1"/>
  <c r="K27"/>
  <c r="M27" s="1"/>
  <c r="K33"/>
  <c r="M33" s="1"/>
  <c r="K89"/>
  <c r="M89" s="1"/>
  <c r="K33" i="32"/>
  <c r="K80"/>
  <c r="K22" i="5"/>
  <c r="K17" i="32"/>
  <c r="M17" s="1"/>
  <c r="K145" i="5"/>
  <c r="M145" s="1"/>
  <c r="K78"/>
  <c r="M78" s="1"/>
  <c r="K140"/>
  <c r="K149"/>
  <c r="M149" s="1"/>
  <c r="K6" i="30"/>
  <c r="M8"/>
  <c r="M17" i="6"/>
  <c r="O17" s="1"/>
  <c r="K20"/>
  <c r="K25"/>
  <c r="K27"/>
  <c r="K34"/>
  <c r="K32"/>
  <c r="K36"/>
  <c r="K37"/>
  <c r="K46"/>
  <c r="K51"/>
  <c r="K53"/>
  <c r="K60"/>
  <c r="K58"/>
  <c r="K62"/>
  <c r="K63"/>
  <c r="M69"/>
  <c r="O69" s="1"/>
  <c r="K72"/>
  <c r="K77"/>
  <c r="K79"/>
  <c r="M98"/>
  <c r="P98"/>
  <c r="M105"/>
  <c r="K115"/>
  <c r="K131"/>
  <c r="M140"/>
  <c r="K143"/>
  <c r="K157"/>
  <c r="K45" i="1"/>
  <c r="M45" s="1"/>
  <c r="K102"/>
  <c r="M102" s="1"/>
  <c r="K109"/>
  <c r="M109" s="1"/>
  <c r="K115"/>
  <c r="M115" s="1"/>
  <c r="K122"/>
  <c r="M122" s="1"/>
  <c r="K128"/>
  <c r="M128" s="1"/>
  <c r="K134"/>
  <c r="M134" s="1"/>
  <c r="K147"/>
  <c r="M147" s="1"/>
  <c r="K25" i="32"/>
  <c r="M25" s="1"/>
  <c r="K44" i="11"/>
  <c r="M44" s="1"/>
  <c r="K73"/>
  <c r="M73" s="1"/>
  <c r="Q8" i="13"/>
  <c r="S8" s="1"/>
  <c r="I84" i="5"/>
  <c r="K85"/>
  <c r="I129"/>
  <c r="K130"/>
  <c r="P7" i="30"/>
  <c r="S7" s="1"/>
  <c r="K21" i="6"/>
  <c r="K19"/>
  <c r="K23"/>
  <c r="M33"/>
  <c r="P33"/>
  <c r="K38"/>
  <c r="M47"/>
  <c r="P47"/>
  <c r="U47" s="1"/>
  <c r="K45"/>
  <c r="K49"/>
  <c r="K50"/>
  <c r="K59"/>
  <c r="K64"/>
  <c r="K66"/>
  <c r="K73"/>
  <c r="M71"/>
  <c r="O71" s="1"/>
  <c r="U71"/>
  <c r="M75"/>
  <c r="O75" s="1"/>
  <c r="P75"/>
  <c r="K76"/>
  <c r="M99"/>
  <c r="P99"/>
  <c r="M116"/>
  <c r="M118"/>
  <c r="M134"/>
  <c r="K139"/>
  <c r="K145" s="1"/>
  <c r="K170"/>
  <c r="K81" i="11"/>
  <c r="M81" s="1"/>
  <c r="O52" i="32"/>
  <c r="I86"/>
  <c r="I17"/>
  <c r="I65"/>
  <c r="I25"/>
  <c r="I33"/>
  <c r="I80"/>
  <c r="I87" i="5"/>
  <c r="I140"/>
  <c r="I139" s="1"/>
  <c r="I145"/>
  <c r="I149"/>
  <c r="I78"/>
  <c r="I57" i="1"/>
  <c r="I45"/>
  <c r="I51"/>
  <c r="K51" s="1"/>
  <c r="M51" s="1"/>
  <c r="I102"/>
  <c r="I109"/>
  <c r="I115"/>
  <c r="I122"/>
  <c r="I128"/>
  <c r="I134"/>
  <c r="I147"/>
  <c r="I63"/>
  <c r="I76"/>
  <c r="I15"/>
  <c r="I21"/>
  <c r="I27"/>
  <c r="I33"/>
  <c r="I68"/>
  <c r="K68" s="1"/>
  <c r="I89"/>
  <c r="G34" i="5"/>
  <c r="I34" s="1"/>
  <c r="K34" s="1"/>
  <c r="M34" s="1"/>
  <c r="E33"/>
  <c r="I6" i="30"/>
  <c r="I30" i="6"/>
  <c r="K30" s="1"/>
  <c r="I31"/>
  <c r="G5" i="1"/>
  <c r="I5" s="1"/>
  <c r="K5" s="1"/>
  <c r="E185"/>
  <c r="I43" i="6"/>
  <c r="I92"/>
  <c r="K92" s="1"/>
  <c r="M92" s="1"/>
  <c r="G71" i="5"/>
  <c r="E70"/>
  <c r="G106"/>
  <c r="E105"/>
  <c r="D18" i="41"/>
  <c r="G59" i="11"/>
  <c r="I24" i="6"/>
  <c r="I56"/>
  <c r="I57"/>
  <c r="G7" i="1"/>
  <c r="I7" s="1"/>
  <c r="G45" i="11"/>
  <c r="E53"/>
  <c r="E88" i="32" s="1"/>
  <c r="I44" i="6"/>
  <c r="I18"/>
  <c r="K18" s="1"/>
  <c r="I70"/>
  <c r="G6" i="1"/>
  <c r="I6" s="1"/>
  <c r="K6" s="1"/>
  <c r="E186"/>
  <c r="M5" i="13"/>
  <c r="K13"/>
  <c r="G25" i="11"/>
  <c r="G79"/>
  <c r="G192" i="1" s="1"/>
  <c r="D54" i="6"/>
  <c r="G65"/>
  <c r="I65" s="1"/>
  <c r="G6" i="30"/>
  <c r="G26" i="6"/>
  <c r="I26" s="1"/>
  <c r="G78"/>
  <c r="I78" s="1"/>
  <c r="G45" i="1"/>
  <c r="G51"/>
  <c r="L8" i="16"/>
  <c r="N8" s="1"/>
  <c r="L13"/>
  <c r="N13" s="1"/>
  <c r="G149" i="5"/>
  <c r="G40"/>
  <c r="I40" s="1"/>
  <c r="K40" s="1"/>
  <c r="M40" s="1"/>
  <c r="G74" i="6"/>
  <c r="I74" s="1"/>
  <c r="U69"/>
  <c r="G22"/>
  <c r="I22" s="1"/>
  <c r="U17"/>
  <c r="N8" i="5"/>
  <c r="G8"/>
  <c r="I8" s="1"/>
  <c r="K8" s="1"/>
  <c r="M8" s="1"/>
  <c r="G55"/>
  <c r="I55" s="1"/>
  <c r="K55" s="1"/>
  <c r="M55" s="1"/>
  <c r="E177" i="6"/>
  <c r="G177" s="1"/>
  <c r="G8"/>
  <c r="I8" s="1"/>
  <c r="K8" s="1"/>
  <c r="M8" s="1"/>
  <c r="O8" s="1"/>
  <c r="E179"/>
  <c r="G179" s="1"/>
  <c r="G10"/>
  <c r="I10" s="1"/>
  <c r="G114"/>
  <c r="G122"/>
  <c r="G155"/>
  <c r="I155" s="1"/>
  <c r="O6" i="32"/>
  <c r="Q6" s="1"/>
  <c r="G6"/>
  <c r="E19" i="2"/>
  <c r="G154" i="5"/>
  <c r="I154" s="1"/>
  <c r="K154" s="1"/>
  <c r="M154" s="1"/>
  <c r="D23" i="41"/>
  <c r="E176" i="6"/>
  <c r="G176" s="1"/>
  <c r="G7"/>
  <c r="I7" s="1"/>
  <c r="K7" s="1"/>
  <c r="G92"/>
  <c r="G127"/>
  <c r="I127" s="1"/>
  <c r="G149"/>
  <c r="I149" s="1"/>
  <c r="G168"/>
  <c r="I168" s="1"/>
  <c r="G21" i="1"/>
  <c r="G57" i="5"/>
  <c r="I57" s="1"/>
  <c r="G39" i="6"/>
  <c r="I39" s="1"/>
  <c r="G86"/>
  <c r="G88"/>
  <c r="G95"/>
  <c r="I95" s="1"/>
  <c r="K95" s="1"/>
  <c r="G96"/>
  <c r="I96" s="1"/>
  <c r="G110"/>
  <c r="I110" s="1"/>
  <c r="K110" s="1"/>
  <c r="G124"/>
  <c r="I124" s="1"/>
  <c r="G129"/>
  <c r="I129" s="1"/>
  <c r="G143"/>
  <c r="I143" s="1"/>
  <c r="G147"/>
  <c r="G148"/>
  <c r="G162"/>
  <c r="G167"/>
  <c r="I167" s="1"/>
  <c r="Q80" i="1"/>
  <c r="G80"/>
  <c r="I80" s="1"/>
  <c r="K80" s="1"/>
  <c r="M80" s="1"/>
  <c r="G102"/>
  <c r="G109"/>
  <c r="G115"/>
  <c r="G122"/>
  <c r="G128"/>
  <c r="G134"/>
  <c r="G147"/>
  <c r="G25" i="32"/>
  <c r="E73"/>
  <c r="G68"/>
  <c r="E23" i="11"/>
  <c r="E42" s="1"/>
  <c r="G22"/>
  <c r="G27" i="5"/>
  <c r="I27" s="1"/>
  <c r="K27" s="1"/>
  <c r="M27" s="1"/>
  <c r="N23"/>
  <c r="G23"/>
  <c r="I23" s="1"/>
  <c r="K23" s="1"/>
  <c r="M23" s="1"/>
  <c r="G99"/>
  <c r="I99" s="1"/>
  <c r="E134"/>
  <c r="G135"/>
  <c r="G84" i="6"/>
  <c r="G89"/>
  <c r="G103"/>
  <c r="I103" s="1"/>
  <c r="K103" s="1"/>
  <c r="G112"/>
  <c r="I112" s="1"/>
  <c r="K112" s="1"/>
  <c r="G121"/>
  <c r="I121" s="1"/>
  <c r="K121" s="1"/>
  <c r="G150"/>
  <c r="I150" s="1"/>
  <c r="G164"/>
  <c r="I164" s="1"/>
  <c r="G166"/>
  <c r="I166" s="1"/>
  <c r="G53" i="32"/>
  <c r="N11" i="5"/>
  <c r="G11"/>
  <c r="I11" s="1"/>
  <c r="K11" s="1"/>
  <c r="M11" s="1"/>
  <c r="N7"/>
  <c r="G7"/>
  <c r="I7" s="1"/>
  <c r="K7" s="1"/>
  <c r="G30"/>
  <c r="I30" s="1"/>
  <c r="K30" s="1"/>
  <c r="M30" s="1"/>
  <c r="N26"/>
  <c r="G26"/>
  <c r="I26" s="1"/>
  <c r="K26" s="1"/>
  <c r="M26" s="1"/>
  <c r="N41"/>
  <c r="G41"/>
  <c r="I41" s="1"/>
  <c r="K41" s="1"/>
  <c r="M41" s="1"/>
  <c r="G58"/>
  <c r="I58" s="1"/>
  <c r="K58" s="1"/>
  <c r="M58" s="1"/>
  <c r="G118"/>
  <c r="I118" s="1"/>
  <c r="E181" i="6"/>
  <c r="G12"/>
  <c r="I12" s="1"/>
  <c r="K12" s="1"/>
  <c r="G35"/>
  <c r="I35" s="1"/>
  <c r="G82"/>
  <c r="G83"/>
  <c r="G97"/>
  <c r="I97" s="1"/>
  <c r="K97" s="1"/>
  <c r="G102"/>
  <c r="I102" s="1"/>
  <c r="G111"/>
  <c r="I111" s="1"/>
  <c r="K111" s="1"/>
  <c r="G125"/>
  <c r="I125" s="1"/>
  <c r="K125" s="1"/>
  <c r="G139"/>
  <c r="I139" s="1"/>
  <c r="G154"/>
  <c r="I154" s="1"/>
  <c r="G163"/>
  <c r="I163" s="1"/>
  <c r="G15" i="1"/>
  <c r="G27"/>
  <c r="G33"/>
  <c r="G86" i="32"/>
  <c r="G17"/>
  <c r="G65"/>
  <c r="N10" i="5"/>
  <c r="G10"/>
  <c r="I10" s="1"/>
  <c r="K10" s="1"/>
  <c r="M10" s="1"/>
  <c r="G14"/>
  <c r="G29"/>
  <c r="G25"/>
  <c r="I25" s="1"/>
  <c r="K25" s="1"/>
  <c r="M25" s="1"/>
  <c r="G54"/>
  <c r="I54" s="1"/>
  <c r="K54" s="1"/>
  <c r="M54" s="1"/>
  <c r="G138"/>
  <c r="I138" s="1"/>
  <c r="G157"/>
  <c r="I157" s="1"/>
  <c r="K157" s="1"/>
  <c r="E175" i="6"/>
  <c r="G6"/>
  <c r="E180"/>
  <c r="G180" s="1"/>
  <c r="G11"/>
  <c r="G48"/>
  <c r="I48" s="1"/>
  <c r="N6" i="5"/>
  <c r="G6"/>
  <c r="I6" s="1"/>
  <c r="K6" s="1"/>
  <c r="M6" s="1"/>
  <c r="N9"/>
  <c r="G9"/>
  <c r="I9" s="1"/>
  <c r="K9" s="1"/>
  <c r="M9" s="1"/>
  <c r="G15"/>
  <c r="G28"/>
  <c r="I28" s="1"/>
  <c r="K28" s="1"/>
  <c r="M28" s="1"/>
  <c r="G24"/>
  <c r="I24" s="1"/>
  <c r="K24" s="1"/>
  <c r="M24" s="1"/>
  <c r="N35"/>
  <c r="G35"/>
  <c r="I35" s="1"/>
  <c r="K35" s="1"/>
  <c r="M35" s="1"/>
  <c r="G60"/>
  <c r="I60" s="1"/>
  <c r="K60" s="1"/>
  <c r="M60" s="1"/>
  <c r="G56"/>
  <c r="I56" s="1"/>
  <c r="K56" s="1"/>
  <c r="M56" s="1"/>
  <c r="G92"/>
  <c r="I92" s="1"/>
  <c r="E173" i="6"/>
  <c r="G4"/>
  <c r="G5"/>
  <c r="E174"/>
  <c r="E183"/>
  <c r="Q15" i="2" s="1"/>
  <c r="G14" i="6"/>
  <c r="I14" s="1"/>
  <c r="K14" s="1"/>
  <c r="G52"/>
  <c r="I52" s="1"/>
  <c r="G61"/>
  <c r="I61" s="1"/>
  <c r="G85"/>
  <c r="G90"/>
  <c r="G101"/>
  <c r="I101" s="1"/>
  <c r="K101" s="1"/>
  <c r="G108"/>
  <c r="G109"/>
  <c r="G123"/>
  <c r="G128"/>
  <c r="I128" s="1"/>
  <c r="G151"/>
  <c r="I151" s="1"/>
  <c r="I153"/>
  <c r="K153" s="1"/>
  <c r="G160"/>
  <c r="G161"/>
  <c r="G57" i="1"/>
  <c r="G63"/>
  <c r="G70"/>
  <c r="G76"/>
  <c r="Q79"/>
  <c r="G79"/>
  <c r="I79" s="1"/>
  <c r="G89"/>
  <c r="G33" i="32"/>
  <c r="G80"/>
  <c r="G82" i="11"/>
  <c r="I82" s="1"/>
  <c r="I84" s="1"/>
  <c r="G4" i="30"/>
  <c r="I4" s="1"/>
  <c r="K4" s="1"/>
  <c r="M4" s="1"/>
  <c r="G3"/>
  <c r="I3" s="1"/>
  <c r="K3" s="1"/>
  <c r="M3" s="1"/>
  <c r="O3" s="1"/>
  <c r="E12"/>
  <c r="G13"/>
  <c r="G23"/>
  <c r="I23" s="1"/>
  <c r="K23" s="1"/>
  <c r="M23" s="1"/>
  <c r="G27"/>
  <c r="I27" s="1"/>
  <c r="E17"/>
  <c r="G18"/>
  <c r="P22"/>
  <c r="Q6" i="2"/>
  <c r="D191" i="1"/>
  <c r="D54" i="11"/>
  <c r="D85"/>
  <c r="D50" i="32"/>
  <c r="D89"/>
  <c r="Q8" i="2"/>
  <c r="I21" i="17" s="1"/>
  <c r="N40" i="5"/>
  <c r="E78"/>
  <c r="D119" i="6"/>
  <c r="D171"/>
  <c r="E78"/>
  <c r="E130"/>
  <c r="Q5" i="2"/>
  <c r="E17" i="32"/>
  <c r="E57"/>
  <c r="P27" i="30"/>
  <c r="S27" s="1"/>
  <c r="E25"/>
  <c r="E25" i="32"/>
  <c r="N81" i="11"/>
  <c r="N34" i="5"/>
  <c r="D29" i="30"/>
  <c r="D87" i="32"/>
  <c r="D153" i="5"/>
  <c r="D149" s="1"/>
  <c r="D145" s="1"/>
  <c r="D144" s="1"/>
  <c r="D15" i="2"/>
  <c r="Q7"/>
  <c r="D190" i="1"/>
  <c r="D178" i="6"/>
  <c r="E10" i="32"/>
  <c r="Q5"/>
  <c r="Q26" i="30"/>
  <c r="N18" i="41" s="1"/>
  <c r="D158" i="6"/>
  <c r="E104"/>
  <c r="E156"/>
  <c r="F18" i="16"/>
  <c r="D145" i="6"/>
  <c r="J8" i="16"/>
  <c r="D41" i="6"/>
  <c r="D28"/>
  <c r="D132"/>
  <c r="D106"/>
  <c r="D67"/>
  <c r="E52"/>
  <c r="D182"/>
  <c r="E35"/>
  <c r="E87"/>
  <c r="D80"/>
  <c r="E15" i="42"/>
  <c r="C17" i="41"/>
  <c r="D15" i="6"/>
  <c r="E13"/>
  <c r="E91"/>
  <c r="E100"/>
  <c r="E143"/>
  <c r="O7" i="42"/>
  <c r="R9" i="41"/>
  <c r="E86" i="32"/>
  <c r="E33"/>
  <c r="H18" i="16"/>
  <c r="D18"/>
  <c r="D22" s="1"/>
  <c r="E9" i="6"/>
  <c r="E61"/>
  <c r="E165"/>
  <c r="O5" i="42"/>
  <c r="R7" i="41"/>
  <c r="O8" i="42"/>
  <c r="R10" i="41"/>
  <c r="E21" i="1"/>
  <c r="E33"/>
  <c r="E45"/>
  <c r="E13" i="5"/>
  <c r="E22" i="6"/>
  <c r="E74"/>
  <c r="E117"/>
  <c r="E126"/>
  <c r="E169"/>
  <c r="O6" i="42"/>
  <c r="R8" i="41"/>
  <c r="E65" i="32"/>
  <c r="I22" i="16"/>
  <c r="E18"/>
  <c r="E22" s="1"/>
  <c r="G18"/>
  <c r="G22" s="1"/>
  <c r="J13"/>
  <c r="K12" i="35"/>
  <c r="E84" i="11"/>
  <c r="E192" i="1"/>
  <c r="E80" i="32"/>
  <c r="E82"/>
  <c r="E83"/>
  <c r="E147" i="1"/>
  <c r="E134"/>
  <c r="E128"/>
  <c r="E122"/>
  <c r="E115"/>
  <c r="E109"/>
  <c r="E102"/>
  <c r="E89"/>
  <c r="E83"/>
  <c r="E76"/>
  <c r="E70"/>
  <c r="E63"/>
  <c r="E57"/>
  <c r="E51"/>
  <c r="E27"/>
  <c r="E15"/>
  <c r="E9"/>
  <c r="E152" i="6"/>
  <c r="E139"/>
  <c r="E113"/>
  <c r="E65"/>
  <c r="E48"/>
  <c r="E39"/>
  <c r="E26"/>
  <c r="E6" i="30"/>
  <c r="E5" s="1"/>
  <c r="M157" i="5" l="1"/>
  <c r="K87"/>
  <c r="M87" s="1"/>
  <c r="K57"/>
  <c r="M57" s="1"/>
  <c r="S22" i="30"/>
  <c r="K70" i="1"/>
  <c r="M70" s="1"/>
  <c r="M68"/>
  <c r="M139" i="6"/>
  <c r="O139" s="1"/>
  <c r="O134"/>
  <c r="P116"/>
  <c r="U116" s="1"/>
  <c r="K129" i="5"/>
  <c r="M129" s="1"/>
  <c r="K84"/>
  <c r="M84" s="1"/>
  <c r="M85"/>
  <c r="M143" i="6"/>
  <c r="O143" s="1"/>
  <c r="O140"/>
  <c r="K139" i="5"/>
  <c r="M139" s="1"/>
  <c r="M140"/>
  <c r="Q23" i="30"/>
  <c r="S23" s="1"/>
  <c r="E10"/>
  <c r="P4"/>
  <c r="S4" s="1"/>
  <c r="P118" i="6"/>
  <c r="U118" s="1"/>
  <c r="P105"/>
  <c r="U105" s="1"/>
  <c r="P8" i="30"/>
  <c r="S8" s="1"/>
  <c r="O8"/>
  <c r="I79" i="11"/>
  <c r="I192" i="1" s="1"/>
  <c r="K79" i="11"/>
  <c r="K192" i="1" s="1"/>
  <c r="I45" i="11"/>
  <c r="I53" s="1"/>
  <c r="I22"/>
  <c r="K22" s="1"/>
  <c r="M22" s="1"/>
  <c r="I25"/>
  <c r="K25" s="1"/>
  <c r="M25" s="1"/>
  <c r="G53"/>
  <c r="G88" i="32" s="1"/>
  <c r="P11" i="2"/>
  <c r="P10" s="1"/>
  <c r="P14" s="1"/>
  <c r="M145" i="6"/>
  <c r="O145" s="1"/>
  <c r="K7" i="1"/>
  <c r="U75" i="6"/>
  <c r="U33"/>
  <c r="K144" i="5"/>
  <c r="M144" s="1"/>
  <c r="L22" i="16"/>
  <c r="N22" s="1"/>
  <c r="M6" i="30"/>
  <c r="I83" i="1"/>
  <c r="K79"/>
  <c r="M153" i="6"/>
  <c r="K128"/>
  <c r="M101"/>
  <c r="M14"/>
  <c r="P14"/>
  <c r="K92" i="5"/>
  <c r="I91"/>
  <c r="I83" s="1"/>
  <c r="K163" i="6"/>
  <c r="K102"/>
  <c r="K104" s="1"/>
  <c r="K164"/>
  <c r="M121"/>
  <c r="M103"/>
  <c r="K167"/>
  <c r="K124"/>
  <c r="K96"/>
  <c r="K168"/>
  <c r="K127"/>
  <c r="M7"/>
  <c r="P7"/>
  <c r="U7" s="1"/>
  <c r="K10"/>
  <c r="U18"/>
  <c r="M18"/>
  <c r="O18" s="1"/>
  <c r="K44"/>
  <c r="K57"/>
  <c r="K24"/>
  <c r="K43"/>
  <c r="K9" i="1"/>
  <c r="M9" s="1"/>
  <c r="K31" i="6"/>
  <c r="M73"/>
  <c r="P73"/>
  <c r="U73" s="1"/>
  <c r="M66"/>
  <c r="P66"/>
  <c r="U66" s="1"/>
  <c r="M64"/>
  <c r="P64"/>
  <c r="U64" s="1"/>
  <c r="M59"/>
  <c r="P59"/>
  <c r="M50"/>
  <c r="O50" s="1"/>
  <c r="P50"/>
  <c r="U50" s="1"/>
  <c r="M49"/>
  <c r="O49" s="1"/>
  <c r="P49"/>
  <c r="K52"/>
  <c r="M45"/>
  <c r="P45"/>
  <c r="M38"/>
  <c r="P38"/>
  <c r="U38" s="1"/>
  <c r="M23"/>
  <c r="O23" s="1"/>
  <c r="U23"/>
  <c r="M19"/>
  <c r="O19" s="1"/>
  <c r="P19"/>
  <c r="M21"/>
  <c r="P21"/>
  <c r="U21" s="1"/>
  <c r="M157"/>
  <c r="P157"/>
  <c r="U157" s="1"/>
  <c r="M131"/>
  <c r="M115"/>
  <c r="M63"/>
  <c r="O63" s="1"/>
  <c r="P63"/>
  <c r="M62"/>
  <c r="O62" s="1"/>
  <c r="U62"/>
  <c r="K65"/>
  <c r="M58"/>
  <c r="O58" s="1"/>
  <c r="U58"/>
  <c r="M60"/>
  <c r="P60"/>
  <c r="U60" s="1"/>
  <c r="M53"/>
  <c r="P53"/>
  <c r="M51"/>
  <c r="P51"/>
  <c r="U51" s="1"/>
  <c r="M46"/>
  <c r="P46"/>
  <c r="U46" s="1"/>
  <c r="M37"/>
  <c r="O37" s="1"/>
  <c r="P37"/>
  <c r="M36"/>
  <c r="O36" s="1"/>
  <c r="U36"/>
  <c r="K39"/>
  <c r="M32"/>
  <c r="O32" s="1"/>
  <c r="U32"/>
  <c r="M34"/>
  <c r="P34"/>
  <c r="U34" s="1"/>
  <c r="M27"/>
  <c r="P27"/>
  <c r="U27" s="1"/>
  <c r="M25"/>
  <c r="P25"/>
  <c r="U25" s="1"/>
  <c r="M20"/>
  <c r="P20"/>
  <c r="U20" s="1"/>
  <c r="K22"/>
  <c r="I25" i="30"/>
  <c r="K27"/>
  <c r="P3"/>
  <c r="S3" s="1"/>
  <c r="G84" i="11"/>
  <c r="K151" i="6"/>
  <c r="I137" i="5"/>
  <c r="J138"/>
  <c r="J137" s="1"/>
  <c r="J128" s="1"/>
  <c r="K154" i="6"/>
  <c r="M125"/>
  <c r="M111"/>
  <c r="M97"/>
  <c r="O97" s="1"/>
  <c r="M12"/>
  <c r="P12"/>
  <c r="U12" s="1"/>
  <c r="I117" i="5"/>
  <c r="K118"/>
  <c r="K166" i="6"/>
  <c r="K150"/>
  <c r="M112"/>
  <c r="I98" i="5"/>
  <c r="K99"/>
  <c r="K129" i="6"/>
  <c r="M110"/>
  <c r="M95"/>
  <c r="O95" s="1"/>
  <c r="K149"/>
  <c r="J23" i="41"/>
  <c r="L23" s="1"/>
  <c r="K19" i="2"/>
  <c r="K155" i="6"/>
  <c r="M13" i="13"/>
  <c r="O5"/>
  <c r="K186" i="1"/>
  <c r="M186" s="1"/>
  <c r="K70" i="6"/>
  <c r="K56"/>
  <c r="U30"/>
  <c r="M30"/>
  <c r="O30" s="1"/>
  <c r="K35"/>
  <c r="K33" i="5"/>
  <c r="M33" s="1"/>
  <c r="M170" i="6"/>
  <c r="M76"/>
  <c r="U76"/>
  <c r="K78"/>
  <c r="I88" i="32"/>
  <c r="M79" i="6"/>
  <c r="P79"/>
  <c r="M77"/>
  <c r="P77"/>
  <c r="U77" s="1"/>
  <c r="M72"/>
  <c r="P72"/>
  <c r="M22"/>
  <c r="O22" s="1"/>
  <c r="K5" i="5"/>
  <c r="M5" s="1"/>
  <c r="N5"/>
  <c r="K39"/>
  <c r="M39" s="1"/>
  <c r="G73" i="32"/>
  <c r="I68"/>
  <c r="K68" s="1"/>
  <c r="G10"/>
  <c r="I6"/>
  <c r="K6" s="1"/>
  <c r="M6" s="1"/>
  <c r="G57"/>
  <c r="I53"/>
  <c r="K53" s="1"/>
  <c r="I33" i="5"/>
  <c r="I15"/>
  <c r="K15" s="1"/>
  <c r="M15" s="1"/>
  <c r="I39"/>
  <c r="I14"/>
  <c r="G134"/>
  <c r="I135"/>
  <c r="H23" i="41"/>
  <c r="I19" i="2"/>
  <c r="G105" i="5"/>
  <c r="I106"/>
  <c r="G70"/>
  <c r="I71"/>
  <c r="H18" i="41"/>
  <c r="I144" i="5"/>
  <c r="I70" i="1"/>
  <c r="I185"/>
  <c r="I9"/>
  <c r="I186"/>
  <c r="I5" i="5"/>
  <c r="I29"/>
  <c r="K29" s="1"/>
  <c r="M29" s="1"/>
  <c r="G33"/>
  <c r="G185" i="1"/>
  <c r="N39" i="5"/>
  <c r="G9" i="1"/>
  <c r="I161" i="6"/>
  <c r="I85"/>
  <c r="O81" i="11"/>
  <c r="Q81" s="1"/>
  <c r="G17" i="30"/>
  <c r="I17"/>
  <c r="I18"/>
  <c r="K18" s="1"/>
  <c r="G12"/>
  <c r="I13"/>
  <c r="G89" i="32"/>
  <c r="I160" i="6"/>
  <c r="I109"/>
  <c r="K109" s="1"/>
  <c r="I5"/>
  <c r="K5" s="1"/>
  <c r="G82" i="32"/>
  <c r="G39" i="5"/>
  <c r="I108" i="6"/>
  <c r="K108" s="1"/>
  <c r="U14"/>
  <c r="I183"/>
  <c r="K183" s="1"/>
  <c r="M183" s="1"/>
  <c r="I4"/>
  <c r="G186" i="1"/>
  <c r="I162" i="6"/>
  <c r="K162" s="1"/>
  <c r="I122"/>
  <c r="I89"/>
  <c r="K89" s="1"/>
  <c r="M89" s="1"/>
  <c r="O89" s="1"/>
  <c r="I123"/>
  <c r="G58" i="11"/>
  <c r="G71" s="1"/>
  <c r="G85" s="1"/>
  <c r="I11" i="6"/>
  <c r="I147"/>
  <c r="P8"/>
  <c r="U8" s="1"/>
  <c r="I6"/>
  <c r="K6" s="1"/>
  <c r="I90"/>
  <c r="I148"/>
  <c r="K148" s="1"/>
  <c r="G117"/>
  <c r="I117" s="1"/>
  <c r="I114"/>
  <c r="K114" s="1"/>
  <c r="I86"/>
  <c r="N53" i="5"/>
  <c r="G80" i="6"/>
  <c r="I80" s="1"/>
  <c r="G67"/>
  <c r="I67" s="1"/>
  <c r="N33" i="5"/>
  <c r="G41" i="6"/>
  <c r="I41" s="1"/>
  <c r="K41" s="1"/>
  <c r="M41" s="1"/>
  <c r="O41" s="1"/>
  <c r="G145"/>
  <c r="I145" s="1"/>
  <c r="G28"/>
  <c r="I28" s="1"/>
  <c r="G83" i="1"/>
  <c r="N78" i="5"/>
  <c r="N69" s="1"/>
  <c r="D13" i="2"/>
  <c r="I11" i="17" s="1"/>
  <c r="D140" i="5"/>
  <c r="D139" s="1"/>
  <c r="D137" s="1"/>
  <c r="D129" s="1"/>
  <c r="G78"/>
  <c r="G126" i="6"/>
  <c r="I126" s="1"/>
  <c r="G100"/>
  <c r="I100" s="1"/>
  <c r="G9"/>
  <c r="I9" s="1"/>
  <c r="G175"/>
  <c r="G165"/>
  <c r="I165" s="1"/>
  <c r="G113"/>
  <c r="I113" s="1"/>
  <c r="G174"/>
  <c r="G173"/>
  <c r="G152"/>
  <c r="I152" s="1"/>
  <c r="G183"/>
  <c r="G130"/>
  <c r="I130" s="1"/>
  <c r="G19" i="2"/>
  <c r="F23" i="41"/>
  <c r="O11" i="42"/>
  <c r="G169" i="6"/>
  <c r="I169" s="1"/>
  <c r="G91"/>
  <c r="G83" i="32"/>
  <c r="E178" i="6"/>
  <c r="E80"/>
  <c r="E182"/>
  <c r="G156"/>
  <c r="I156" s="1"/>
  <c r="G104"/>
  <c r="I104" s="1"/>
  <c r="G54"/>
  <c r="I54" s="1"/>
  <c r="G13" i="5"/>
  <c r="G87" i="6"/>
  <c r="G181"/>
  <c r="G13"/>
  <c r="I13" s="1"/>
  <c r="G5" i="30"/>
  <c r="I5" s="1"/>
  <c r="K5" s="1"/>
  <c r="G25"/>
  <c r="Q4" i="2"/>
  <c r="R14" i="41"/>
  <c r="D91" i="32"/>
  <c r="D93" s="1"/>
  <c r="D96" s="1"/>
  <c r="R13" i="41"/>
  <c r="E89" i="32"/>
  <c r="E85" i="11"/>
  <c r="O12" i="42"/>
  <c r="Q12" i="2"/>
  <c r="E158" i="6"/>
  <c r="E132"/>
  <c r="S26" i="30"/>
  <c r="E24"/>
  <c r="E106" i="6"/>
  <c r="E93"/>
  <c r="E119"/>
  <c r="E171"/>
  <c r="E67"/>
  <c r="E54"/>
  <c r="D184"/>
  <c r="E41"/>
  <c r="E15"/>
  <c r="E13" i="42"/>
  <c r="C15" i="41"/>
  <c r="E145" i="6"/>
  <c r="E28"/>
  <c r="K45" i="11" l="1"/>
  <c r="M7" i="1"/>
  <c r="O45" i="6"/>
  <c r="W48"/>
  <c r="K57" i="32"/>
  <c r="M57" s="1"/>
  <c r="M53"/>
  <c r="K82"/>
  <c r="M82" s="1"/>
  <c r="M68"/>
  <c r="P110" i="6"/>
  <c r="U110" s="1"/>
  <c r="O110"/>
  <c r="K98" i="5"/>
  <c r="M98" s="1"/>
  <c r="M99"/>
  <c r="P112" i="6"/>
  <c r="U112" s="1"/>
  <c r="P111"/>
  <c r="U111" s="1"/>
  <c r="P125"/>
  <c r="U125" s="1"/>
  <c r="P115"/>
  <c r="K26"/>
  <c r="I59" i="11"/>
  <c r="P121" i="6"/>
  <c r="U121" s="1"/>
  <c r="O121"/>
  <c r="P101"/>
  <c r="U101" s="1"/>
  <c r="O101"/>
  <c r="P153"/>
  <c r="U153" s="1"/>
  <c r="O153"/>
  <c r="M192" i="1"/>
  <c r="M79" i="11"/>
  <c r="P170" i="6"/>
  <c r="U170" s="1"/>
  <c r="K117" i="5"/>
  <c r="M117" s="1"/>
  <c r="M118"/>
  <c r="P131" i="6"/>
  <c r="U131" s="1"/>
  <c r="P103"/>
  <c r="U103" s="1"/>
  <c r="K91" i="5"/>
  <c r="M92"/>
  <c r="K83" i="1"/>
  <c r="M83" s="1"/>
  <c r="M79"/>
  <c r="P6" i="30"/>
  <c r="O6"/>
  <c r="K53" i="11"/>
  <c r="M45"/>
  <c r="C21" i="2"/>
  <c r="P16"/>
  <c r="M18" i="41"/>
  <c r="L18"/>
  <c r="AA19" i="2"/>
  <c r="M19"/>
  <c r="M65" i="6"/>
  <c r="O65" s="1"/>
  <c r="I14" i="41"/>
  <c r="I12" s="1"/>
  <c r="I16" s="1"/>
  <c r="J12" i="2"/>
  <c r="J10" s="1"/>
  <c r="J14" s="1"/>
  <c r="J16" s="1"/>
  <c r="J20" s="1"/>
  <c r="U72" i="6"/>
  <c r="P74"/>
  <c r="U79"/>
  <c r="U37"/>
  <c r="P39"/>
  <c r="U53"/>
  <c r="U19"/>
  <c r="P22"/>
  <c r="U45"/>
  <c r="P48"/>
  <c r="M78"/>
  <c r="O78" s="1"/>
  <c r="U63"/>
  <c r="P65"/>
  <c r="U115"/>
  <c r="U49"/>
  <c r="P52"/>
  <c r="U59"/>
  <c r="P61"/>
  <c r="P35"/>
  <c r="P41" s="1"/>
  <c r="P78"/>
  <c r="P92"/>
  <c r="U92" s="1"/>
  <c r="G69" i="5"/>
  <c r="K138"/>
  <c r="M5" i="30"/>
  <c r="O5" s="1"/>
  <c r="M148" i="6"/>
  <c r="O6"/>
  <c r="U11"/>
  <c r="K11"/>
  <c r="I58" i="11" s="1"/>
  <c r="I71" s="1"/>
  <c r="I85" s="1"/>
  <c r="K123" i="6"/>
  <c r="K122"/>
  <c r="K4"/>
  <c r="O5"/>
  <c r="K160"/>
  <c r="K161"/>
  <c r="I70" i="5"/>
  <c r="I69" s="1"/>
  <c r="K71"/>
  <c r="I105"/>
  <c r="K106"/>
  <c r="I134"/>
  <c r="I128" s="1"/>
  <c r="K135"/>
  <c r="I13"/>
  <c r="K14"/>
  <c r="K83" i="32"/>
  <c r="M83" s="1"/>
  <c r="K10"/>
  <c r="M10" s="1"/>
  <c r="K73"/>
  <c r="M73" s="1"/>
  <c r="U70" i="6"/>
  <c r="M70"/>
  <c r="K74"/>
  <c r="M149"/>
  <c r="M129"/>
  <c r="M150"/>
  <c r="M166"/>
  <c r="K169"/>
  <c r="M154"/>
  <c r="J160" i="5"/>
  <c r="M39" i="6"/>
  <c r="O39" s="1"/>
  <c r="M52"/>
  <c r="O52" s="1"/>
  <c r="K185" i="1"/>
  <c r="M164" i="6"/>
  <c r="M102"/>
  <c r="M163"/>
  <c r="M128"/>
  <c r="K156"/>
  <c r="M114"/>
  <c r="O114" s="1"/>
  <c r="K117"/>
  <c r="K147"/>
  <c r="M162"/>
  <c r="M108"/>
  <c r="K113"/>
  <c r="M109"/>
  <c r="I12" i="30"/>
  <c r="I10" s="1"/>
  <c r="K13"/>
  <c r="K17"/>
  <c r="M18"/>
  <c r="O18" s="1"/>
  <c r="O56" i="6"/>
  <c r="K61"/>
  <c r="U56"/>
  <c r="Q5" i="13"/>
  <c r="O13"/>
  <c r="M155" i="6"/>
  <c r="M151"/>
  <c r="K82" i="11"/>
  <c r="M82" s="1"/>
  <c r="I89" i="32"/>
  <c r="M27" i="30"/>
  <c r="K25"/>
  <c r="K28" i="6"/>
  <c r="U31"/>
  <c r="M31"/>
  <c r="U43"/>
  <c r="O43"/>
  <c r="K48"/>
  <c r="M24"/>
  <c r="P24"/>
  <c r="U24" s="1"/>
  <c r="U57"/>
  <c r="O57"/>
  <c r="O44"/>
  <c r="U44"/>
  <c r="O10"/>
  <c r="U10"/>
  <c r="K13"/>
  <c r="P13" s="1"/>
  <c r="M127"/>
  <c r="O127" s="1"/>
  <c r="K130"/>
  <c r="M168"/>
  <c r="K100"/>
  <c r="M96"/>
  <c r="M124"/>
  <c r="M167"/>
  <c r="I181"/>
  <c r="K181" s="1"/>
  <c r="M181" s="1"/>
  <c r="K90"/>
  <c r="M90" s="1"/>
  <c r="I177"/>
  <c r="K177" s="1"/>
  <c r="M177" s="1"/>
  <c r="O177" s="1"/>
  <c r="K86"/>
  <c r="M86" s="1"/>
  <c r="I176"/>
  <c r="K176" s="1"/>
  <c r="M176" s="1"/>
  <c r="K85"/>
  <c r="M85" s="1"/>
  <c r="I10" i="32"/>
  <c r="I83"/>
  <c r="O53"/>
  <c r="I57"/>
  <c r="I73"/>
  <c r="I82"/>
  <c r="G10" i="30"/>
  <c r="I180" i="6"/>
  <c r="K180" s="1"/>
  <c r="M180" s="1"/>
  <c r="O180" s="1"/>
  <c r="I82"/>
  <c r="U5"/>
  <c r="S7" i="41"/>
  <c r="U7" s="1"/>
  <c r="W7" s="1"/>
  <c r="AA7" s="1"/>
  <c r="R5" i="2"/>
  <c r="T5" s="1"/>
  <c r="V5" s="1"/>
  <c r="R6"/>
  <c r="T6" s="1"/>
  <c r="V6" s="1"/>
  <c r="S8" i="41"/>
  <c r="U8" s="1"/>
  <c r="W8" s="1"/>
  <c r="AA8" s="1"/>
  <c r="U6" i="6"/>
  <c r="I84"/>
  <c r="I91"/>
  <c r="I182" s="1"/>
  <c r="I87"/>
  <c r="I178" s="1"/>
  <c r="I83"/>
  <c r="I88"/>
  <c r="R12" i="2"/>
  <c r="T12" s="1"/>
  <c r="V12" s="1"/>
  <c r="X12" s="1"/>
  <c r="Z12" s="1"/>
  <c r="S14" i="41"/>
  <c r="U14" s="1"/>
  <c r="W14" s="1"/>
  <c r="Y14" s="1"/>
  <c r="G132" i="6"/>
  <c r="I132" s="1"/>
  <c r="D121" i="5"/>
  <c r="D119" s="1"/>
  <c r="D117" s="1"/>
  <c r="D105" s="1"/>
  <c r="D128"/>
  <c r="C13" i="41"/>
  <c r="E11" i="42"/>
  <c r="G98" i="5"/>
  <c r="D11" i="2"/>
  <c r="D16" i="5"/>
  <c r="G171" i="6"/>
  <c r="I171" s="1"/>
  <c r="G119"/>
  <c r="I119" s="1"/>
  <c r="G106"/>
  <c r="I106" s="1"/>
  <c r="G93"/>
  <c r="G15"/>
  <c r="I15" s="1"/>
  <c r="G182"/>
  <c r="G178"/>
  <c r="G158"/>
  <c r="I158" s="1"/>
  <c r="E29" i="30"/>
  <c r="G24"/>
  <c r="D166" i="7"/>
  <c r="D165"/>
  <c r="D8" i="2" s="1"/>
  <c r="D164" i="7"/>
  <c r="E89"/>
  <c r="E90"/>
  <c r="E91"/>
  <c r="E92"/>
  <c r="E93"/>
  <c r="E94"/>
  <c r="E97"/>
  <c r="G97" s="1"/>
  <c r="E88"/>
  <c r="E77"/>
  <c r="E78"/>
  <c r="E79"/>
  <c r="G79" s="1"/>
  <c r="E80"/>
  <c r="E81"/>
  <c r="E82"/>
  <c r="E85"/>
  <c r="G85" s="1"/>
  <c r="E76"/>
  <c r="E65"/>
  <c r="E66"/>
  <c r="E67"/>
  <c r="E68"/>
  <c r="E69"/>
  <c r="E70"/>
  <c r="E73"/>
  <c r="G73" s="1"/>
  <c r="I73" s="1"/>
  <c r="K73" s="1"/>
  <c r="S73" s="1"/>
  <c r="E64"/>
  <c r="E53"/>
  <c r="E54"/>
  <c r="E55"/>
  <c r="E56"/>
  <c r="E57"/>
  <c r="E58"/>
  <c r="E61"/>
  <c r="G61" s="1"/>
  <c r="E52"/>
  <c r="E41"/>
  <c r="E42"/>
  <c r="E43"/>
  <c r="E44"/>
  <c r="E45"/>
  <c r="E46"/>
  <c r="E49"/>
  <c r="G49" s="1"/>
  <c r="E40"/>
  <c r="E29"/>
  <c r="E30"/>
  <c r="E31"/>
  <c r="E32"/>
  <c r="E33"/>
  <c r="E34"/>
  <c r="E37"/>
  <c r="E28"/>
  <c r="D26"/>
  <c r="E17"/>
  <c r="E18"/>
  <c r="E19"/>
  <c r="E20"/>
  <c r="E21"/>
  <c r="E22"/>
  <c r="E16"/>
  <c r="E5"/>
  <c r="E6"/>
  <c r="E7"/>
  <c r="E8"/>
  <c r="E9"/>
  <c r="E10"/>
  <c r="E13"/>
  <c r="G13" s="1"/>
  <c r="E4"/>
  <c r="D163"/>
  <c r="D162"/>
  <c r="D161"/>
  <c r="D160"/>
  <c r="E149"/>
  <c r="E150"/>
  <c r="E151"/>
  <c r="E152"/>
  <c r="E153"/>
  <c r="E154"/>
  <c r="E157"/>
  <c r="G157" s="1"/>
  <c r="E148"/>
  <c r="E137"/>
  <c r="E138"/>
  <c r="E139"/>
  <c r="E140"/>
  <c r="E141"/>
  <c r="E142"/>
  <c r="E145"/>
  <c r="G145" s="1"/>
  <c r="E136"/>
  <c r="E125"/>
  <c r="E126"/>
  <c r="E127"/>
  <c r="E128"/>
  <c r="E129"/>
  <c r="E130"/>
  <c r="E133"/>
  <c r="G133" s="1"/>
  <c r="E124"/>
  <c r="E113"/>
  <c r="E114"/>
  <c r="E115"/>
  <c r="E116"/>
  <c r="E117"/>
  <c r="E118"/>
  <c r="E121"/>
  <c r="E112"/>
  <c r="E101"/>
  <c r="E102"/>
  <c r="E103"/>
  <c r="E104"/>
  <c r="E105"/>
  <c r="E106"/>
  <c r="E109"/>
  <c r="G109" s="1"/>
  <c r="E100"/>
  <c r="M185" i="1" l="1"/>
  <c r="P167" i="6"/>
  <c r="U167" s="1"/>
  <c r="M100"/>
  <c r="O96"/>
  <c r="K59" i="11"/>
  <c r="M59" s="1"/>
  <c r="O24" i="6"/>
  <c r="M35"/>
  <c r="O35" s="1"/>
  <c r="O31"/>
  <c r="M25" i="30"/>
  <c r="O27"/>
  <c r="P151" i="6"/>
  <c r="U151" s="1"/>
  <c r="P155"/>
  <c r="U155" s="1"/>
  <c r="Q13" i="13"/>
  <c r="S13" s="1"/>
  <c r="S5"/>
  <c r="P109" i="6"/>
  <c r="U109" s="1"/>
  <c r="O109"/>
  <c r="P108"/>
  <c r="U108" s="1"/>
  <c r="O108"/>
  <c r="P162"/>
  <c r="U162" s="1"/>
  <c r="O162"/>
  <c r="P163"/>
  <c r="U163" s="1"/>
  <c r="P164"/>
  <c r="P150"/>
  <c r="U150" s="1"/>
  <c r="P149"/>
  <c r="U149" s="1"/>
  <c r="O149"/>
  <c r="M74"/>
  <c r="O70"/>
  <c r="P148"/>
  <c r="U148" s="1"/>
  <c r="O148"/>
  <c r="K137" i="5"/>
  <c r="P73" i="7"/>
  <c r="O73"/>
  <c r="P124" i="6"/>
  <c r="U124" s="1"/>
  <c r="P168"/>
  <c r="U168" s="1"/>
  <c r="P128"/>
  <c r="U128" s="1"/>
  <c r="P102"/>
  <c r="U102" s="1"/>
  <c r="P154"/>
  <c r="U154" s="1"/>
  <c r="O154"/>
  <c r="P166"/>
  <c r="U166" s="1"/>
  <c r="O166"/>
  <c r="P129"/>
  <c r="U129" s="1"/>
  <c r="K13" i="5"/>
  <c r="M13" s="1"/>
  <c r="M14"/>
  <c r="K134"/>
  <c r="M134" s="1"/>
  <c r="K105"/>
  <c r="M105" s="1"/>
  <c r="M106"/>
  <c r="K70"/>
  <c r="K88" i="32"/>
  <c r="M88" s="1"/>
  <c r="M53" i="11"/>
  <c r="K83" i="5"/>
  <c r="M83" s="1"/>
  <c r="M91"/>
  <c r="Y16" i="2"/>
  <c r="Y20" s="1"/>
  <c r="Z15"/>
  <c r="AA6"/>
  <c r="Z6"/>
  <c r="AA5"/>
  <c r="Z5"/>
  <c r="P67" i="6"/>
  <c r="M104"/>
  <c r="P80"/>
  <c r="M130"/>
  <c r="P127"/>
  <c r="U127" s="1"/>
  <c r="M117"/>
  <c r="P114"/>
  <c r="U114" s="1"/>
  <c r="P89"/>
  <c r="U89" s="1"/>
  <c r="P54"/>
  <c r="I20" i="41"/>
  <c r="I24" s="1"/>
  <c r="I25"/>
  <c r="K84" i="11"/>
  <c r="N82"/>
  <c r="O82" s="1"/>
  <c r="O84" s="1"/>
  <c r="M156" i="6"/>
  <c r="M48"/>
  <c r="I173"/>
  <c r="K173" s="1"/>
  <c r="M173" s="1"/>
  <c r="O173" s="1"/>
  <c r="K82"/>
  <c r="M82" s="1"/>
  <c r="O82" s="1"/>
  <c r="K106"/>
  <c r="K54"/>
  <c r="K24" i="30"/>
  <c r="K67" i="6"/>
  <c r="Q18" i="30"/>
  <c r="M17"/>
  <c r="O17" s="1"/>
  <c r="M13"/>
  <c r="O13" s="1"/>
  <c r="K12"/>
  <c r="K10" s="1"/>
  <c r="M113" i="6"/>
  <c r="O113" s="1"/>
  <c r="M147"/>
  <c r="O147" s="1"/>
  <c r="K152"/>
  <c r="P5" i="30"/>
  <c r="M26" i="6"/>
  <c r="O26" s="1"/>
  <c r="M61"/>
  <c r="K119"/>
  <c r="U164"/>
  <c r="M169"/>
  <c r="K80"/>
  <c r="M161"/>
  <c r="M160"/>
  <c r="K165"/>
  <c r="U4"/>
  <c r="M4"/>
  <c r="K9"/>
  <c r="M122"/>
  <c r="K126"/>
  <c r="M123"/>
  <c r="M11"/>
  <c r="I179"/>
  <c r="K179" s="1"/>
  <c r="K88"/>
  <c r="I175"/>
  <c r="K175" s="1"/>
  <c r="M175" s="1"/>
  <c r="O175" s="1"/>
  <c r="K84"/>
  <c r="M84" s="1"/>
  <c r="O84" s="1"/>
  <c r="I174"/>
  <c r="K174" s="1"/>
  <c r="K83"/>
  <c r="M83" s="1"/>
  <c r="O83" s="1"/>
  <c r="D91" i="5"/>
  <c r="D87" s="1"/>
  <c r="D84" s="1"/>
  <c r="D83" s="1"/>
  <c r="D39" s="1"/>
  <c r="D5" s="1"/>
  <c r="D4" s="1"/>
  <c r="D97"/>
  <c r="I93" i="6"/>
  <c r="I184" s="1"/>
  <c r="G107" i="7"/>
  <c r="I107" s="1"/>
  <c r="K107" s="1"/>
  <c r="I109"/>
  <c r="K109" s="1"/>
  <c r="M109" s="1"/>
  <c r="G155"/>
  <c r="I155" s="1"/>
  <c r="K155" s="1"/>
  <c r="I157"/>
  <c r="K157" s="1"/>
  <c r="G11"/>
  <c r="I11" s="1"/>
  <c r="I13"/>
  <c r="K13" s="1"/>
  <c r="G47"/>
  <c r="I47" s="1"/>
  <c r="K47" s="1"/>
  <c r="I49"/>
  <c r="K49" s="1"/>
  <c r="G59"/>
  <c r="I59" s="1"/>
  <c r="K59" s="1"/>
  <c r="I61"/>
  <c r="K61" s="1"/>
  <c r="G95"/>
  <c r="I95" s="1"/>
  <c r="K95" s="1"/>
  <c r="I97"/>
  <c r="K97" s="1"/>
  <c r="G131"/>
  <c r="I131" s="1"/>
  <c r="K131" s="1"/>
  <c r="I133"/>
  <c r="K133" s="1"/>
  <c r="G143"/>
  <c r="I143" s="1"/>
  <c r="K143" s="1"/>
  <c r="I145"/>
  <c r="K145" s="1"/>
  <c r="G29" i="30"/>
  <c r="I24"/>
  <c r="I29" s="1"/>
  <c r="D53" i="5"/>
  <c r="D48" s="1"/>
  <c r="D12" i="2"/>
  <c r="I10" i="17" s="1"/>
  <c r="E12" i="42"/>
  <c r="E10" s="1"/>
  <c r="C14" i="41"/>
  <c r="C12" s="1"/>
  <c r="G83" i="7"/>
  <c r="G71"/>
  <c r="I71" s="1"/>
  <c r="K71" s="1"/>
  <c r="G184" i="6"/>
  <c r="G57" i="7"/>
  <c r="I57" s="1"/>
  <c r="K57" s="1"/>
  <c r="M57" s="1"/>
  <c r="G81"/>
  <c r="G100"/>
  <c r="I100" s="1"/>
  <c r="K100" s="1"/>
  <c r="M100" s="1"/>
  <c r="G104"/>
  <c r="I104" s="1"/>
  <c r="K104" s="1"/>
  <c r="M104" s="1"/>
  <c r="Q112"/>
  <c r="G112"/>
  <c r="I112" s="1"/>
  <c r="K112" s="1"/>
  <c r="M112" s="1"/>
  <c r="Q116"/>
  <c r="Q80" s="1"/>
  <c r="Q164" s="1"/>
  <c r="G116"/>
  <c r="I116" s="1"/>
  <c r="K116" s="1"/>
  <c r="M116" s="1"/>
  <c r="G124"/>
  <c r="I124" s="1"/>
  <c r="K124" s="1"/>
  <c r="M124" s="1"/>
  <c r="O124" s="1"/>
  <c r="G128"/>
  <c r="I128" s="1"/>
  <c r="K128" s="1"/>
  <c r="M128" s="1"/>
  <c r="G136"/>
  <c r="I136" s="1"/>
  <c r="K136" s="1"/>
  <c r="M136" s="1"/>
  <c r="G140"/>
  <c r="I140" s="1"/>
  <c r="K140" s="1"/>
  <c r="M140" s="1"/>
  <c r="G148"/>
  <c r="I148" s="1"/>
  <c r="K148" s="1"/>
  <c r="M148" s="1"/>
  <c r="G152"/>
  <c r="I152" s="1"/>
  <c r="K152" s="1"/>
  <c r="M152" s="1"/>
  <c r="G4"/>
  <c r="I4" s="1"/>
  <c r="K4" s="1"/>
  <c r="G8"/>
  <c r="I8" s="1"/>
  <c r="K8" s="1"/>
  <c r="G16"/>
  <c r="I16" s="1"/>
  <c r="K16" s="1"/>
  <c r="M16" s="1"/>
  <c r="O16" s="1"/>
  <c r="G19"/>
  <c r="I19" s="1"/>
  <c r="K19" s="1"/>
  <c r="M19" s="1"/>
  <c r="G28"/>
  <c r="I28" s="1"/>
  <c r="K28" s="1"/>
  <c r="M28" s="1"/>
  <c r="O28" s="1"/>
  <c r="G32"/>
  <c r="I32" s="1"/>
  <c r="K32" s="1"/>
  <c r="M32" s="1"/>
  <c r="G40"/>
  <c r="I40" s="1"/>
  <c r="K40" s="1"/>
  <c r="M40" s="1"/>
  <c r="O40" s="1"/>
  <c r="G44"/>
  <c r="I44" s="1"/>
  <c r="K44" s="1"/>
  <c r="M44" s="1"/>
  <c r="G52"/>
  <c r="I52" s="1"/>
  <c r="K52" s="1"/>
  <c r="M52" s="1"/>
  <c r="G56"/>
  <c r="I56" s="1"/>
  <c r="K56" s="1"/>
  <c r="M56" s="1"/>
  <c r="G64"/>
  <c r="I64" s="1"/>
  <c r="K64" s="1"/>
  <c r="M64" s="1"/>
  <c r="O64" s="1"/>
  <c r="G68"/>
  <c r="I68" s="1"/>
  <c r="K68" s="1"/>
  <c r="M68" s="1"/>
  <c r="G76"/>
  <c r="G80"/>
  <c r="G88"/>
  <c r="I88" s="1"/>
  <c r="K88" s="1"/>
  <c r="M88" s="1"/>
  <c r="G92"/>
  <c r="I92" s="1"/>
  <c r="K92" s="1"/>
  <c r="M92" s="1"/>
  <c r="G105"/>
  <c r="I105" s="1"/>
  <c r="K105" s="1"/>
  <c r="M105" s="1"/>
  <c r="Q113"/>
  <c r="G113"/>
  <c r="I113" s="1"/>
  <c r="K113" s="1"/>
  <c r="M113" s="1"/>
  <c r="G141"/>
  <c r="I141" s="1"/>
  <c r="K141" s="1"/>
  <c r="M141" s="1"/>
  <c r="G153"/>
  <c r="I153" s="1"/>
  <c r="K153" s="1"/>
  <c r="M153" s="1"/>
  <c r="G5"/>
  <c r="I5" s="1"/>
  <c r="K5" s="1"/>
  <c r="G29"/>
  <c r="I29" s="1"/>
  <c r="K29" s="1"/>
  <c r="M29" s="1"/>
  <c r="G69"/>
  <c r="I69" s="1"/>
  <c r="K69" s="1"/>
  <c r="M69" s="1"/>
  <c r="G103"/>
  <c r="I103" s="1"/>
  <c r="K103" s="1"/>
  <c r="M103" s="1"/>
  <c r="G115"/>
  <c r="I115" s="1"/>
  <c r="K115" s="1"/>
  <c r="M115" s="1"/>
  <c r="G139"/>
  <c r="I139" s="1"/>
  <c r="K139" s="1"/>
  <c r="M139" s="1"/>
  <c r="G18"/>
  <c r="I18" s="1"/>
  <c r="K18" s="1"/>
  <c r="M18" s="1"/>
  <c r="G31"/>
  <c r="I31" s="1"/>
  <c r="K31" s="1"/>
  <c r="M31" s="1"/>
  <c r="G67"/>
  <c r="I67" s="1"/>
  <c r="K67" s="1"/>
  <c r="G91"/>
  <c r="I91" s="1"/>
  <c r="K91" s="1"/>
  <c r="M91" s="1"/>
  <c r="G101"/>
  <c r="I101" s="1"/>
  <c r="K101" s="1"/>
  <c r="M101" s="1"/>
  <c r="Q117"/>
  <c r="Q81" s="1"/>
  <c r="Q165" s="1"/>
  <c r="G117"/>
  <c r="I117" s="1"/>
  <c r="K117" s="1"/>
  <c r="M117" s="1"/>
  <c r="G129"/>
  <c r="I129" s="1"/>
  <c r="K129" s="1"/>
  <c r="M129" s="1"/>
  <c r="G125"/>
  <c r="I125" s="1"/>
  <c r="K125" s="1"/>
  <c r="M125" s="1"/>
  <c r="G137"/>
  <c r="I137" s="1"/>
  <c r="K137" s="1"/>
  <c r="M137" s="1"/>
  <c r="G149"/>
  <c r="I149" s="1"/>
  <c r="K149" s="1"/>
  <c r="M149" s="1"/>
  <c r="G9"/>
  <c r="I9" s="1"/>
  <c r="K9" s="1"/>
  <c r="G20"/>
  <c r="I20" s="1"/>
  <c r="K20" s="1"/>
  <c r="M20" s="1"/>
  <c r="G33"/>
  <c r="I33" s="1"/>
  <c r="K33" s="1"/>
  <c r="M33" s="1"/>
  <c r="G45"/>
  <c r="I45" s="1"/>
  <c r="K45" s="1"/>
  <c r="M45" s="1"/>
  <c r="G41"/>
  <c r="I41" s="1"/>
  <c r="K41" s="1"/>
  <c r="M41" s="1"/>
  <c r="G53"/>
  <c r="I53" s="1"/>
  <c r="K53" s="1"/>
  <c r="M53" s="1"/>
  <c r="G65"/>
  <c r="I65" s="1"/>
  <c r="K65" s="1"/>
  <c r="M65" s="1"/>
  <c r="G77"/>
  <c r="G93"/>
  <c r="I93" s="1"/>
  <c r="K93" s="1"/>
  <c r="M93" s="1"/>
  <c r="G89"/>
  <c r="I89" s="1"/>
  <c r="K89" s="1"/>
  <c r="M89" s="1"/>
  <c r="G121"/>
  <c r="E119"/>
  <c r="E122" s="1"/>
  <c r="G127"/>
  <c r="I127" s="1"/>
  <c r="K127" s="1"/>
  <c r="M127" s="1"/>
  <c r="G151"/>
  <c r="I151" s="1"/>
  <c r="K151" s="1"/>
  <c r="M151" s="1"/>
  <c r="G7"/>
  <c r="I7" s="1"/>
  <c r="K7" s="1"/>
  <c r="M7" s="1"/>
  <c r="O7" s="1"/>
  <c r="G22"/>
  <c r="I22" s="1"/>
  <c r="K22" s="1"/>
  <c r="M22" s="1"/>
  <c r="G37"/>
  <c r="G43"/>
  <c r="I43" s="1"/>
  <c r="K43" s="1"/>
  <c r="M43" s="1"/>
  <c r="G55"/>
  <c r="I55" s="1"/>
  <c r="K55" s="1"/>
  <c r="M55" s="1"/>
  <c r="G106"/>
  <c r="I106" s="1"/>
  <c r="K106" s="1"/>
  <c r="M106" s="1"/>
  <c r="G102"/>
  <c r="I102" s="1"/>
  <c r="K102" s="1"/>
  <c r="M102" s="1"/>
  <c r="Q118"/>
  <c r="Q82" s="1"/>
  <c r="Q166" s="1"/>
  <c r="G118"/>
  <c r="I118" s="1"/>
  <c r="K118" s="1"/>
  <c r="M118" s="1"/>
  <c r="Q114"/>
  <c r="G114"/>
  <c r="I114" s="1"/>
  <c r="K114" s="1"/>
  <c r="M114" s="1"/>
  <c r="G130"/>
  <c r="I130" s="1"/>
  <c r="K130" s="1"/>
  <c r="M130" s="1"/>
  <c r="G126"/>
  <c r="I126" s="1"/>
  <c r="K126" s="1"/>
  <c r="M126" s="1"/>
  <c r="G142"/>
  <c r="I142" s="1"/>
  <c r="K142" s="1"/>
  <c r="M142" s="1"/>
  <c r="G138"/>
  <c r="I138" s="1"/>
  <c r="K138" s="1"/>
  <c r="M138" s="1"/>
  <c r="G154"/>
  <c r="I154" s="1"/>
  <c r="K154" s="1"/>
  <c r="M154" s="1"/>
  <c r="G150"/>
  <c r="I150" s="1"/>
  <c r="K150" s="1"/>
  <c r="M150" s="1"/>
  <c r="G10"/>
  <c r="I10" s="1"/>
  <c r="K10" s="1"/>
  <c r="G6"/>
  <c r="I6" s="1"/>
  <c r="K6" s="1"/>
  <c r="M6" s="1"/>
  <c r="G21"/>
  <c r="I21" s="1"/>
  <c r="K21" s="1"/>
  <c r="M21" s="1"/>
  <c r="G17"/>
  <c r="I17" s="1"/>
  <c r="K17" s="1"/>
  <c r="M17" s="1"/>
  <c r="G34"/>
  <c r="I34" s="1"/>
  <c r="K34" s="1"/>
  <c r="M34" s="1"/>
  <c r="G30"/>
  <c r="I30" s="1"/>
  <c r="K30" s="1"/>
  <c r="M30" s="1"/>
  <c r="G46"/>
  <c r="I46" s="1"/>
  <c r="K46" s="1"/>
  <c r="M46" s="1"/>
  <c r="G42"/>
  <c r="I42" s="1"/>
  <c r="K42" s="1"/>
  <c r="M42" s="1"/>
  <c r="G58"/>
  <c r="I58" s="1"/>
  <c r="K58" s="1"/>
  <c r="M58" s="1"/>
  <c r="G54"/>
  <c r="I54" s="1"/>
  <c r="K54" s="1"/>
  <c r="M54" s="1"/>
  <c r="G70"/>
  <c r="I70" s="1"/>
  <c r="K70" s="1"/>
  <c r="M70" s="1"/>
  <c r="G66"/>
  <c r="I66" s="1"/>
  <c r="K66" s="1"/>
  <c r="M66" s="1"/>
  <c r="G82"/>
  <c r="G78"/>
  <c r="G94"/>
  <c r="I94" s="1"/>
  <c r="K94" s="1"/>
  <c r="M94" s="1"/>
  <c r="G90"/>
  <c r="I90" s="1"/>
  <c r="K90" s="1"/>
  <c r="M90" s="1"/>
  <c r="E107"/>
  <c r="E131"/>
  <c r="E143"/>
  <c r="E155"/>
  <c r="E95"/>
  <c r="E83"/>
  <c r="E71"/>
  <c r="E59"/>
  <c r="E47"/>
  <c r="E11"/>
  <c r="E166"/>
  <c r="E26"/>
  <c r="E164"/>
  <c r="E165"/>
  <c r="E7" i="42"/>
  <c r="E8"/>
  <c r="C10" i="41"/>
  <c r="E162" i="7"/>
  <c r="E163"/>
  <c r="E160"/>
  <c r="E161"/>
  <c r="D170"/>
  <c r="Q27" i="11"/>
  <c r="U96" i="6"/>
  <c r="U97"/>
  <c r="U98"/>
  <c r="U99"/>
  <c r="U95"/>
  <c r="C27" i="11"/>
  <c r="N122" i="5"/>
  <c r="C122"/>
  <c r="E122" s="1"/>
  <c r="G122" s="1"/>
  <c r="I122" s="1"/>
  <c r="K122" s="1"/>
  <c r="M122" s="1"/>
  <c r="C79" i="11"/>
  <c r="O191" i="1"/>
  <c r="P42" i="11"/>
  <c r="P88" i="6" l="1"/>
  <c r="U88" s="1"/>
  <c r="K128" i="5"/>
  <c r="M128" s="1"/>
  <c r="P86" i="6"/>
  <c r="U86" s="1"/>
  <c r="P85"/>
  <c r="U85" s="1"/>
  <c r="P54" i="7"/>
  <c r="P30"/>
  <c r="P138"/>
  <c r="P126"/>
  <c r="P118"/>
  <c r="P55"/>
  <c r="O55"/>
  <c r="P127"/>
  <c r="P93"/>
  <c r="P33"/>
  <c r="P94"/>
  <c r="P70"/>
  <c r="P58"/>
  <c r="P46"/>
  <c r="P34"/>
  <c r="P21"/>
  <c r="P154"/>
  <c r="P142"/>
  <c r="P130"/>
  <c r="P106"/>
  <c r="P43"/>
  <c r="P22"/>
  <c r="P151"/>
  <c r="O151"/>
  <c r="P89"/>
  <c r="P53"/>
  <c r="P45"/>
  <c r="P20"/>
  <c r="P149"/>
  <c r="P125"/>
  <c r="P117"/>
  <c r="P101"/>
  <c r="P18"/>
  <c r="Q115"/>
  <c r="Q79" s="1"/>
  <c r="O115"/>
  <c r="P69"/>
  <c r="P141"/>
  <c r="P92"/>
  <c r="P68"/>
  <c r="P56"/>
  <c r="P44"/>
  <c r="P32"/>
  <c r="P19"/>
  <c r="O19"/>
  <c r="P152"/>
  <c r="P140"/>
  <c r="P128"/>
  <c r="P116"/>
  <c r="P104"/>
  <c r="P97"/>
  <c r="O97"/>
  <c r="P61"/>
  <c r="O61"/>
  <c r="P49"/>
  <c r="O49"/>
  <c r="P157"/>
  <c r="O157"/>
  <c r="P109"/>
  <c r="O109"/>
  <c r="P123" i="6"/>
  <c r="P84" s="1"/>
  <c r="U84" s="1"/>
  <c r="O123"/>
  <c r="P122"/>
  <c r="O122"/>
  <c r="M9"/>
  <c r="O4"/>
  <c r="P161"/>
  <c r="P83" s="1"/>
  <c r="U83" s="1"/>
  <c r="O161"/>
  <c r="P169"/>
  <c r="O169"/>
  <c r="M67"/>
  <c r="O67" s="1"/>
  <c r="O61"/>
  <c r="P90"/>
  <c r="U90" s="1"/>
  <c r="P156"/>
  <c r="O156"/>
  <c r="P90" i="7"/>
  <c r="P66"/>
  <c r="P42"/>
  <c r="P17"/>
  <c r="P150"/>
  <c r="P114"/>
  <c r="P102"/>
  <c r="P65"/>
  <c r="P41"/>
  <c r="P137"/>
  <c r="P129"/>
  <c r="P91"/>
  <c r="O91"/>
  <c r="P31"/>
  <c r="O31"/>
  <c r="P139"/>
  <c r="O139"/>
  <c r="P103"/>
  <c r="O103"/>
  <c r="P29"/>
  <c r="P153"/>
  <c r="P113"/>
  <c r="P105"/>
  <c r="P52"/>
  <c r="O52"/>
  <c r="P57"/>
  <c r="O57"/>
  <c r="P71"/>
  <c r="O71"/>
  <c r="P145"/>
  <c r="O145"/>
  <c r="P133"/>
  <c r="O133"/>
  <c r="K58" i="11"/>
  <c r="O11" i="6"/>
  <c r="P160"/>
  <c r="O160"/>
  <c r="M54"/>
  <c r="O54" s="1"/>
  <c r="O48"/>
  <c r="K89" i="32"/>
  <c r="M84" i="11"/>
  <c r="P117" i="6"/>
  <c r="O117"/>
  <c r="P130"/>
  <c r="O130"/>
  <c r="P104"/>
  <c r="O104"/>
  <c r="K69" i="5"/>
  <c r="M69" s="1"/>
  <c r="M70"/>
  <c r="M80" i="6"/>
  <c r="O80" s="1"/>
  <c r="O74"/>
  <c r="M24" i="30"/>
  <c r="O24" s="1"/>
  <c r="O25"/>
  <c r="P100" i="6"/>
  <c r="O100"/>
  <c r="M106"/>
  <c r="M87"/>
  <c r="O87" s="1"/>
  <c r="U160"/>
  <c r="U161"/>
  <c r="M152"/>
  <c r="O152" s="1"/>
  <c r="P147"/>
  <c r="U147" s="1"/>
  <c r="M119"/>
  <c r="P113"/>
  <c r="N84" i="11"/>
  <c r="Q82"/>
  <c r="M28" i="6"/>
  <c r="O28" s="1"/>
  <c r="P26"/>
  <c r="P28" s="1"/>
  <c r="K29" i="30"/>
  <c r="D6" i="2"/>
  <c r="E6" i="42"/>
  <c r="M165" i="6"/>
  <c r="O165" s="1"/>
  <c r="P10" i="7"/>
  <c r="P6"/>
  <c r="P88"/>
  <c r="P64"/>
  <c r="P40"/>
  <c r="P28"/>
  <c r="P148"/>
  <c r="P124"/>
  <c r="P112"/>
  <c r="P122" s="1"/>
  <c r="P100"/>
  <c r="K146"/>
  <c r="K134"/>
  <c r="K98"/>
  <c r="K62"/>
  <c r="O59"/>
  <c r="K50"/>
  <c r="K158"/>
  <c r="K110"/>
  <c r="M107"/>
  <c r="K91" i="6"/>
  <c r="M88"/>
  <c r="K132"/>
  <c r="U122"/>
  <c r="K171"/>
  <c r="K158"/>
  <c r="P7" i="7"/>
  <c r="O9"/>
  <c r="M67"/>
  <c r="P16"/>
  <c r="M8"/>
  <c r="P136"/>
  <c r="O13"/>
  <c r="K178" i="6"/>
  <c r="M174"/>
  <c r="K182"/>
  <c r="M126"/>
  <c r="O126" s="1"/>
  <c r="K15"/>
  <c r="Q13" i="30"/>
  <c r="M12"/>
  <c r="Q17"/>
  <c r="S18"/>
  <c r="M13" i="6"/>
  <c r="K87"/>
  <c r="K93" s="1"/>
  <c r="C8" i="41"/>
  <c r="K74" i="7"/>
  <c r="I79"/>
  <c r="K79" s="1"/>
  <c r="M79" s="1"/>
  <c r="I81"/>
  <c r="I78"/>
  <c r="G35"/>
  <c r="I35" s="1"/>
  <c r="K35" s="1"/>
  <c r="I37"/>
  <c r="K37" s="1"/>
  <c r="G119"/>
  <c r="I119" s="1"/>
  <c r="I121"/>
  <c r="I77"/>
  <c r="I80"/>
  <c r="I76"/>
  <c r="I82"/>
  <c r="D3" i="5"/>
  <c r="E5" i="42" s="1"/>
  <c r="C9" i="41"/>
  <c r="Q163" i="7"/>
  <c r="D7" i="2"/>
  <c r="D10"/>
  <c r="G161" i="7"/>
  <c r="G98"/>
  <c r="I98" s="1"/>
  <c r="G86"/>
  <c r="G74"/>
  <c r="I74" s="1"/>
  <c r="G62"/>
  <c r="I62" s="1"/>
  <c r="G50"/>
  <c r="I50" s="1"/>
  <c r="G26"/>
  <c r="G160"/>
  <c r="G14"/>
  <c r="I14" s="1"/>
  <c r="G158"/>
  <c r="I158" s="1"/>
  <c r="G146"/>
  <c r="I146" s="1"/>
  <c r="G134"/>
  <c r="I134" s="1"/>
  <c r="E54" i="11"/>
  <c r="G27"/>
  <c r="I27" s="1"/>
  <c r="I42" s="1"/>
  <c r="I54" s="1"/>
  <c r="G162" i="7"/>
  <c r="G163"/>
  <c r="G110"/>
  <c r="I110" s="1"/>
  <c r="G166"/>
  <c r="G165"/>
  <c r="E110"/>
  <c r="G164"/>
  <c r="E146"/>
  <c r="E158"/>
  <c r="E134"/>
  <c r="E74"/>
  <c r="E14"/>
  <c r="E98"/>
  <c r="E86"/>
  <c r="E62"/>
  <c r="E50"/>
  <c r="S28" i="30"/>
  <c r="E7" i="4"/>
  <c r="E17" s="1"/>
  <c r="G74" i="34"/>
  <c r="G73"/>
  <c r="G71"/>
  <c r="G69"/>
  <c r="G68"/>
  <c r="G67"/>
  <c r="G66"/>
  <c r="G62"/>
  <c r="G61"/>
  <c r="G59"/>
  <c r="G58"/>
  <c r="G56"/>
  <c r="G54"/>
  <c r="G53"/>
  <c r="G52"/>
  <c r="G51"/>
  <c r="G50"/>
  <c r="G49"/>
  <c r="G48"/>
  <c r="G47"/>
  <c r="G45"/>
  <c r="G44"/>
  <c r="G43"/>
  <c r="G42"/>
  <c r="G41"/>
  <c r="G39"/>
  <c r="G38"/>
  <c r="G37"/>
  <c r="G34"/>
  <c r="G29"/>
  <c r="G24"/>
  <c r="G23"/>
  <c r="G22"/>
  <c r="G21"/>
  <c r="G20"/>
  <c r="G19"/>
  <c r="G13"/>
  <c r="G12"/>
  <c r="G11"/>
  <c r="G10"/>
  <c r="G9"/>
  <c r="G7"/>
  <c r="G5"/>
  <c r="G4"/>
  <c r="G3"/>
  <c r="E4" i="42" l="1"/>
  <c r="E14" s="1"/>
  <c r="E18" s="1"/>
  <c r="E22" s="1"/>
  <c r="U123" i="6"/>
  <c r="S12" i="42"/>
  <c r="S10" s="1"/>
  <c r="S14" s="1"/>
  <c r="Z14" i="41"/>
  <c r="P37" i="7"/>
  <c r="O37"/>
  <c r="P79"/>
  <c r="O79"/>
  <c r="M10" i="30"/>
  <c r="O12"/>
  <c r="M182" i="6"/>
  <c r="O182" s="1"/>
  <c r="O179"/>
  <c r="M178"/>
  <c r="O178" s="1"/>
  <c r="O174"/>
  <c r="P67" i="7"/>
  <c r="O67"/>
  <c r="P119" i="6"/>
  <c r="O119"/>
  <c r="K71" i="11"/>
  <c r="M58"/>
  <c r="M15" i="6"/>
  <c r="O13"/>
  <c r="M91"/>
  <c r="O91" s="1"/>
  <c r="O88"/>
  <c r="P107" i="7"/>
  <c r="O107"/>
  <c r="P155"/>
  <c r="O155"/>
  <c r="P47"/>
  <c r="O47"/>
  <c r="P95"/>
  <c r="O95"/>
  <c r="P131"/>
  <c r="O131"/>
  <c r="P143"/>
  <c r="O143"/>
  <c r="P106" i="6"/>
  <c r="O106"/>
  <c r="P9"/>
  <c r="O9"/>
  <c r="M89" i="32"/>
  <c r="K184" i="6"/>
  <c r="M171"/>
  <c r="P165"/>
  <c r="M158"/>
  <c r="P152"/>
  <c r="P82"/>
  <c r="U82" s="1"/>
  <c r="M132"/>
  <c r="P126"/>
  <c r="I163" i="7"/>
  <c r="M146"/>
  <c r="O146" s="1"/>
  <c r="P110"/>
  <c r="D160" i="5"/>
  <c r="D200" i="1" s="1"/>
  <c r="I160" i="7"/>
  <c r="K76"/>
  <c r="I161"/>
  <c r="K77"/>
  <c r="I85"/>
  <c r="K121"/>
  <c r="M121" s="1"/>
  <c r="I162"/>
  <c r="K78"/>
  <c r="P13"/>
  <c r="P8"/>
  <c r="P5"/>
  <c r="K163"/>
  <c r="P9"/>
  <c r="M74"/>
  <c r="O74" s="1"/>
  <c r="I166"/>
  <c r="K82"/>
  <c r="I164"/>
  <c r="K80"/>
  <c r="K38"/>
  <c r="O35"/>
  <c r="I165"/>
  <c r="K81"/>
  <c r="Q12" i="30"/>
  <c r="Q10" s="1"/>
  <c r="S13"/>
  <c r="P4" i="7"/>
  <c r="M163"/>
  <c r="O163" s="1"/>
  <c r="O62"/>
  <c r="P59"/>
  <c r="M110"/>
  <c r="O110" s="1"/>
  <c r="M134"/>
  <c r="O134" s="1"/>
  <c r="M158"/>
  <c r="O158" s="1"/>
  <c r="M50"/>
  <c r="O50" s="1"/>
  <c r="P74"/>
  <c r="M98"/>
  <c r="O98" s="1"/>
  <c r="D5" i="2"/>
  <c r="C4" s="1"/>
  <c r="C14" s="1"/>
  <c r="C16" s="1"/>
  <c r="C20" s="1"/>
  <c r="I83" i="7"/>
  <c r="K83" s="1"/>
  <c r="M83" s="1"/>
  <c r="O83" s="1"/>
  <c r="K119"/>
  <c r="C7" i="41"/>
  <c r="C6" s="1"/>
  <c r="C16" s="1"/>
  <c r="C20" s="1"/>
  <c r="C24" s="1"/>
  <c r="G42" i="11"/>
  <c r="G191" i="1" s="1"/>
  <c r="S11" i="2" s="1"/>
  <c r="S10" s="1"/>
  <c r="S14" s="1"/>
  <c r="F21" s="1"/>
  <c r="P163" i="7"/>
  <c r="G122"/>
  <c r="I122" s="1"/>
  <c r="I86" s="1"/>
  <c r="G38"/>
  <c r="I38" s="1"/>
  <c r="G167"/>
  <c r="G169" s="1"/>
  <c r="E191" i="1"/>
  <c r="Q11" i="2" s="1"/>
  <c r="P188" i="1"/>
  <c r="P186"/>
  <c r="C186"/>
  <c r="P185"/>
  <c r="C185"/>
  <c r="C37"/>
  <c r="C86" i="32"/>
  <c r="C83"/>
  <c r="C82"/>
  <c r="O11" i="43"/>
  <c r="O12"/>
  <c r="P50" i="7" l="1"/>
  <c r="P134"/>
  <c r="Z12" i="41"/>
  <c r="Z16" s="1"/>
  <c r="Z20" s="1"/>
  <c r="Z24" s="1"/>
  <c r="AA14"/>
  <c r="L93" i="32"/>
  <c r="P98" i="7"/>
  <c r="P158"/>
  <c r="M93" i="6"/>
  <c r="P146" i="7"/>
  <c r="S18" i="42"/>
  <c r="S22" s="1"/>
  <c r="I23"/>
  <c r="P132" i="6"/>
  <c r="O132"/>
  <c r="Q121" i="7"/>
  <c r="Q85" s="1"/>
  <c r="O121"/>
  <c r="P158" i="6"/>
  <c r="O158"/>
  <c r="P171"/>
  <c r="O171"/>
  <c r="P15"/>
  <c r="O15"/>
  <c r="M71" i="11"/>
  <c r="K85"/>
  <c r="M85" s="1"/>
  <c r="M29" i="30"/>
  <c r="O29" s="1"/>
  <c r="O10"/>
  <c r="Q10" i="2"/>
  <c r="Q14" s="1"/>
  <c r="K122" i="7"/>
  <c r="O119"/>
  <c r="M81"/>
  <c r="K165"/>
  <c r="P35"/>
  <c r="P38" s="1"/>
  <c r="M38"/>
  <c r="O38" s="1"/>
  <c r="M80"/>
  <c r="K164"/>
  <c r="K166"/>
  <c r="M82"/>
  <c r="K162"/>
  <c r="M78"/>
  <c r="M77"/>
  <c r="K161"/>
  <c r="M76"/>
  <c r="O76" s="1"/>
  <c r="K160"/>
  <c r="K27" i="11"/>
  <c r="P62" i="7"/>
  <c r="I169"/>
  <c r="K85"/>
  <c r="D4" i="2"/>
  <c r="D14" s="1"/>
  <c r="D16" s="1"/>
  <c r="D20" s="1"/>
  <c r="K86" i="7"/>
  <c r="G54" i="11"/>
  <c r="I191" i="1"/>
  <c r="G170" i="7"/>
  <c r="S13" i="41"/>
  <c r="U13" s="1"/>
  <c r="W13" s="1"/>
  <c r="AA13" s="1"/>
  <c r="E194" i="1"/>
  <c r="G194"/>
  <c r="Q186"/>
  <c r="Q187"/>
  <c r="Q37"/>
  <c r="Q185"/>
  <c r="C187"/>
  <c r="E37"/>
  <c r="M13" i="42"/>
  <c r="L13"/>
  <c r="L9"/>
  <c r="L8"/>
  <c r="B19"/>
  <c r="B15"/>
  <c r="B5"/>
  <c r="B8"/>
  <c r="B13"/>
  <c r="K25" i="41" l="1"/>
  <c r="O93" i="6"/>
  <c r="M184"/>
  <c r="O184" s="1"/>
  <c r="K42" i="11"/>
  <c r="M42" s="1"/>
  <c r="M27"/>
  <c r="I194" i="1"/>
  <c r="U11" i="2"/>
  <c r="M85" i="7"/>
  <c r="K169"/>
  <c r="P85"/>
  <c r="P78"/>
  <c r="M162"/>
  <c r="P82"/>
  <c r="M166"/>
  <c r="P76"/>
  <c r="M86"/>
  <c r="O86" s="1"/>
  <c r="M160"/>
  <c r="O160" s="1"/>
  <c r="P77"/>
  <c r="M161"/>
  <c r="O161" s="1"/>
  <c r="P80"/>
  <c r="M164"/>
  <c r="P81"/>
  <c r="M165"/>
  <c r="O165" s="1"/>
  <c r="Q119"/>
  <c r="M122"/>
  <c r="O122" s="1"/>
  <c r="G37" i="1"/>
  <c r="G39" s="1"/>
  <c r="E187"/>
  <c r="E39"/>
  <c r="M9" i="42"/>
  <c r="L4"/>
  <c r="L10"/>
  <c r="M10"/>
  <c r="M4"/>
  <c r="C15"/>
  <c r="C19"/>
  <c r="K54" i="11" l="1"/>
  <c r="M54" s="1"/>
  <c r="K191" i="1"/>
  <c r="K194" s="1"/>
  <c r="M169" i="7"/>
  <c r="O169" s="1"/>
  <c r="O85"/>
  <c r="W11" i="2"/>
  <c r="U10"/>
  <c r="U14" s="1"/>
  <c r="Q83" i="7"/>
  <c r="Q122"/>
  <c r="P164"/>
  <c r="P166"/>
  <c r="P160"/>
  <c r="P165"/>
  <c r="P161"/>
  <c r="P162"/>
  <c r="G187" i="1"/>
  <c r="I37"/>
  <c r="L14" i="42"/>
  <c r="L18" s="1"/>
  <c r="L22" s="1"/>
  <c r="M14"/>
  <c r="C13"/>
  <c r="C10" s="1"/>
  <c r="C7"/>
  <c r="B4"/>
  <c r="B10"/>
  <c r="C6"/>
  <c r="C158" i="5"/>
  <c r="C120"/>
  <c r="E120" s="1"/>
  <c r="G120" s="1"/>
  <c r="I120" s="1"/>
  <c r="K120" s="1"/>
  <c r="M120" s="1"/>
  <c r="C45" i="32"/>
  <c r="C155" i="5"/>
  <c r="M191" i="1" l="1"/>
  <c r="M194"/>
  <c r="W10" i="2"/>
  <c r="W14" s="1"/>
  <c r="W16" s="1"/>
  <c r="W20" s="1"/>
  <c r="J24" s="1"/>
  <c r="H21"/>
  <c r="U16"/>
  <c r="U20" s="1"/>
  <c r="K37" i="1"/>
  <c r="K187" s="1"/>
  <c r="I187"/>
  <c r="Q86" i="7"/>
  <c r="Q167"/>
  <c r="Q169" s="1"/>
  <c r="P83"/>
  <c r="I39" i="1"/>
  <c r="E18" i="2"/>
  <c r="E17" s="1"/>
  <c r="D22" i="41"/>
  <c r="G155" i="5"/>
  <c r="I155" s="1"/>
  <c r="K155" s="1"/>
  <c r="M155" s="1"/>
  <c r="B14" i="42"/>
  <c r="E158" i="5"/>
  <c r="C84" i="32"/>
  <c r="G45"/>
  <c r="I45" s="1"/>
  <c r="K45" s="1"/>
  <c r="C4" i="42"/>
  <c r="C14" s="1"/>
  <c r="C18" s="1"/>
  <c r="C22" s="1"/>
  <c r="M18"/>
  <c r="M22" s="1"/>
  <c r="C31" i="5"/>
  <c r="E31" s="1"/>
  <c r="C33"/>
  <c r="M45" i="32" l="1"/>
  <c r="K48"/>
  <c r="M48" s="1"/>
  <c r="M187" i="1"/>
  <c r="M37"/>
  <c r="Z11" i="2"/>
  <c r="AA11"/>
  <c r="K39" i="1"/>
  <c r="M39" s="1"/>
  <c r="N45" i="32"/>
  <c r="N48" s="1"/>
  <c r="J22" i="41"/>
  <c r="L22" s="1"/>
  <c r="K18" i="2"/>
  <c r="K84" i="32"/>
  <c r="M84" s="1"/>
  <c r="P86" i="7"/>
  <c r="I48" i="32"/>
  <c r="I84"/>
  <c r="H22" i="41"/>
  <c r="I18" i="2"/>
  <c r="I17" s="1"/>
  <c r="H16" i="42"/>
  <c r="J16" s="1"/>
  <c r="F18" i="41"/>
  <c r="G31" i="5"/>
  <c r="I31" s="1"/>
  <c r="I16" s="1"/>
  <c r="G48" i="32"/>
  <c r="G84"/>
  <c r="G18" i="2"/>
  <c r="G17" s="1"/>
  <c r="F22" i="41"/>
  <c r="G158" i="5"/>
  <c r="I158" s="1"/>
  <c r="K158" s="1"/>
  <c r="D19" i="41"/>
  <c r="E48" i="32"/>
  <c r="E156" i="5"/>
  <c r="E84" i="32"/>
  <c r="B18" i="42"/>
  <c r="B22" s="1"/>
  <c r="B23"/>
  <c r="C23"/>
  <c r="M7" i="10"/>
  <c r="M5" s="1"/>
  <c r="C7"/>
  <c r="C5" s="1"/>
  <c r="M158" i="5" l="1"/>
  <c r="M18" i="2"/>
  <c r="K17"/>
  <c r="J21" i="41"/>
  <c r="L21" s="1"/>
  <c r="O45" i="32"/>
  <c r="O48" s="1"/>
  <c r="AA18" i="2"/>
  <c r="I4" i="5"/>
  <c r="K31"/>
  <c r="M31" s="1"/>
  <c r="H21" i="41"/>
  <c r="H19"/>
  <c r="I156" i="5"/>
  <c r="K156" s="1"/>
  <c r="M156" s="1"/>
  <c r="D17" i="41"/>
  <c r="E15" i="2"/>
  <c r="R7"/>
  <c r="T7" s="1"/>
  <c r="V7" s="1"/>
  <c r="S9" i="41"/>
  <c r="U9" s="1"/>
  <c r="W9" s="1"/>
  <c r="AA9" s="1"/>
  <c r="F21"/>
  <c r="G156" i="5"/>
  <c r="F19" i="41"/>
  <c r="D164" i="5"/>
  <c r="E153"/>
  <c r="E145" s="1"/>
  <c r="E91" i="29"/>
  <c r="F91"/>
  <c r="F90"/>
  <c r="AA7" i="2" l="1"/>
  <c r="M19" i="41"/>
  <c r="L19"/>
  <c r="AA17" i="2"/>
  <c r="M17"/>
  <c r="K16" i="5"/>
  <c r="L17" i="41"/>
  <c r="K153" i="5"/>
  <c r="M153" s="1"/>
  <c r="H17" i="41"/>
  <c r="I15" i="2"/>
  <c r="I153" i="5"/>
  <c r="E144"/>
  <c r="F17" i="41"/>
  <c r="G15" i="2"/>
  <c r="G153" i="5"/>
  <c r="G145" s="1"/>
  <c r="N120"/>
  <c r="N124"/>
  <c r="C124"/>
  <c r="E124" s="1"/>
  <c r="O78"/>
  <c r="O69" s="1"/>
  <c r="C78"/>
  <c r="Q76" i="32"/>
  <c r="Q77"/>
  <c r="O78"/>
  <c r="Q78" s="1"/>
  <c r="O79"/>
  <c r="Q75"/>
  <c r="N80"/>
  <c r="P80"/>
  <c r="C80"/>
  <c r="N86"/>
  <c r="K4" i="5" l="1"/>
  <c r="M4" s="1"/>
  <c r="M16"/>
  <c r="AA15" i="2"/>
  <c r="M15"/>
  <c r="N13" i="41"/>
  <c r="M13" s="1"/>
  <c r="E140" i="5"/>
  <c r="E139" s="1"/>
  <c r="G144"/>
  <c r="G124"/>
  <c r="I124" s="1"/>
  <c r="K124" s="1"/>
  <c r="M124" s="1"/>
  <c r="Q80" i="32"/>
  <c r="O86"/>
  <c r="Q79"/>
  <c r="E137" i="29"/>
  <c r="D136"/>
  <c r="D138" s="1"/>
  <c r="C136"/>
  <c r="C138" s="1"/>
  <c r="E135"/>
  <c r="E134"/>
  <c r="E133"/>
  <c r="E132"/>
  <c r="E131"/>
  <c r="E130"/>
  <c r="E129"/>
  <c r="E128"/>
  <c r="D125"/>
  <c r="C125"/>
  <c r="E124"/>
  <c r="E122"/>
  <c r="E121"/>
  <c r="E120"/>
  <c r="E119"/>
  <c r="E118"/>
  <c r="E117"/>
  <c r="E116"/>
  <c r="E137" i="5" l="1"/>
  <c r="E129" s="1"/>
  <c r="E128" s="1"/>
  <c r="D14" i="41" s="1"/>
  <c r="F14" s="1"/>
  <c r="H14" s="1"/>
  <c r="J14" s="1"/>
  <c r="L14" s="1"/>
  <c r="G140" i="5"/>
  <c r="G139" s="1"/>
  <c r="G137" s="1"/>
  <c r="G129" s="1"/>
  <c r="G128" s="1"/>
  <c r="N192" i="1"/>
  <c r="Q192" s="1"/>
  <c r="E125" i="29"/>
  <c r="E136"/>
  <c r="E138" s="1"/>
  <c r="F110"/>
  <c r="E110"/>
  <c r="D109"/>
  <c r="D111" s="1"/>
  <c r="F111" s="1"/>
  <c r="C109"/>
  <c r="C111" s="1"/>
  <c r="F108"/>
  <c r="E108"/>
  <c r="F107"/>
  <c r="E107"/>
  <c r="F106"/>
  <c r="E106"/>
  <c r="F105"/>
  <c r="E105"/>
  <c r="F104"/>
  <c r="E104"/>
  <c r="F103"/>
  <c r="E103"/>
  <c r="F102"/>
  <c r="E102"/>
  <c r="F101"/>
  <c r="E101"/>
  <c r="F100"/>
  <c r="F99"/>
  <c r="D98"/>
  <c r="C98"/>
  <c r="F97"/>
  <c r="E97"/>
  <c r="F96"/>
  <c r="F95"/>
  <c r="E95"/>
  <c r="F94"/>
  <c r="E94"/>
  <c r="F93"/>
  <c r="E93"/>
  <c r="F92"/>
  <c r="E92"/>
  <c r="F89"/>
  <c r="E89"/>
  <c r="F88"/>
  <c r="F82"/>
  <c r="E81"/>
  <c r="E83" s="1"/>
  <c r="D81"/>
  <c r="D83" s="1"/>
  <c r="C81"/>
  <c r="C83" s="1"/>
  <c r="F80"/>
  <c r="F79"/>
  <c r="F78"/>
  <c r="F77"/>
  <c r="F76"/>
  <c r="F75"/>
  <c r="F74"/>
  <c r="F73"/>
  <c r="F72"/>
  <c r="F71"/>
  <c r="E70"/>
  <c r="D70"/>
  <c r="C70"/>
  <c r="F69"/>
  <c r="F68"/>
  <c r="F67"/>
  <c r="F66"/>
  <c r="F65"/>
  <c r="F64"/>
  <c r="F63"/>
  <c r="F62"/>
  <c r="F61"/>
  <c r="F60"/>
  <c r="J12" i="41" l="1"/>
  <c r="H12"/>
  <c r="H16" s="1"/>
  <c r="H20" s="1"/>
  <c r="H24" s="1"/>
  <c r="E12" i="2"/>
  <c r="G12" s="1"/>
  <c r="I12" s="1"/>
  <c r="F12" i="41"/>
  <c r="F83" i="29"/>
  <c r="F70"/>
  <c r="E98"/>
  <c r="F98" s="1"/>
  <c r="E109"/>
  <c r="F109" s="1"/>
  <c r="F81"/>
  <c r="J16" i="41" l="1"/>
  <c r="L12"/>
  <c r="I10" i="2"/>
  <c r="I14" s="1"/>
  <c r="I16" s="1"/>
  <c r="I20" s="1"/>
  <c r="K12"/>
  <c r="M12" s="1"/>
  <c r="E10"/>
  <c r="G10"/>
  <c r="F54" i="29"/>
  <c r="E53"/>
  <c r="E55" s="1"/>
  <c r="D53"/>
  <c r="D55" s="1"/>
  <c r="C53"/>
  <c r="C55" s="1"/>
  <c r="F52"/>
  <c r="F51"/>
  <c r="F50"/>
  <c r="F49"/>
  <c r="F48"/>
  <c r="F47"/>
  <c r="F46"/>
  <c r="F45"/>
  <c r="F44"/>
  <c r="F43"/>
  <c r="D42"/>
  <c r="F41"/>
  <c r="F40"/>
  <c r="F39"/>
  <c r="F38"/>
  <c r="F37"/>
  <c r="F36"/>
  <c r="F35"/>
  <c r="F34"/>
  <c r="F33"/>
  <c r="C42"/>
  <c r="J20" i="41" l="1"/>
  <c r="L16"/>
  <c r="K10" i="2"/>
  <c r="M10" s="1"/>
  <c r="AA12"/>
  <c r="F55" i="29"/>
  <c r="E32"/>
  <c r="F53"/>
  <c r="J24" i="41" l="1"/>
  <c r="L24" s="1"/>
  <c r="L20"/>
  <c r="K14" i="2"/>
  <c r="E42" i="29"/>
  <c r="C61" i="5" s="1"/>
  <c r="F32" i="29"/>
  <c r="F42" s="1"/>
  <c r="M14" i="2" l="1"/>
  <c r="K16"/>
  <c r="K20" s="1"/>
  <c r="E61" i="5"/>
  <c r="E53" s="1"/>
  <c r="E48" s="1"/>
  <c r="O13"/>
  <c r="N25" i="43"/>
  <c r="M25"/>
  <c r="L25"/>
  <c r="K25"/>
  <c r="J25"/>
  <c r="I25"/>
  <c r="H25"/>
  <c r="G25"/>
  <c r="F25"/>
  <c r="E25"/>
  <c r="D25"/>
  <c r="C25"/>
  <c r="O21"/>
  <c r="O20"/>
  <c r="O18"/>
  <c r="O17"/>
  <c r="O16"/>
  <c r="O13"/>
  <c r="O10"/>
  <c r="O9"/>
  <c r="O8"/>
  <c r="M16" i="2" l="1"/>
  <c r="M20"/>
  <c r="O61" i="5"/>
  <c r="G61"/>
  <c r="O25" i="43"/>
  <c r="C22" i="44"/>
  <c r="D22"/>
  <c r="E22"/>
  <c r="E11"/>
  <c r="D11"/>
  <c r="C11"/>
  <c r="B11"/>
  <c r="B30" s="1"/>
  <c r="E10"/>
  <c r="D10"/>
  <c r="C10"/>
  <c r="B10"/>
  <c r="E53" i="12"/>
  <c r="F53"/>
  <c r="G53"/>
  <c r="H53"/>
  <c r="I53"/>
  <c r="J53"/>
  <c r="D53"/>
  <c r="N118" i="5"/>
  <c r="G53" l="1"/>
  <c r="G48" s="1"/>
  <c r="I61"/>
  <c r="C30" i="44"/>
  <c r="E30"/>
  <c r="D30"/>
  <c r="I53" i="5" l="1"/>
  <c r="K61"/>
  <c r="F5" i="29"/>
  <c r="J5" s="1"/>
  <c r="F6"/>
  <c r="J6" s="1"/>
  <c r="G7"/>
  <c r="H7" s="1"/>
  <c r="J8"/>
  <c r="G9"/>
  <c r="H9" s="1"/>
  <c r="C10"/>
  <c r="F10"/>
  <c r="J10" s="1"/>
  <c r="C11"/>
  <c r="J11"/>
  <c r="G12"/>
  <c r="H12" s="1"/>
  <c r="E13"/>
  <c r="F13"/>
  <c r="J14"/>
  <c r="D15"/>
  <c r="E15"/>
  <c r="D16"/>
  <c r="D26" s="1"/>
  <c r="E16"/>
  <c r="E26" s="1"/>
  <c r="F16"/>
  <c r="G16"/>
  <c r="E17"/>
  <c r="F17"/>
  <c r="G18"/>
  <c r="H18" s="1"/>
  <c r="G19"/>
  <c r="H19" s="1"/>
  <c r="G20"/>
  <c r="H20" s="1"/>
  <c r="G21"/>
  <c r="H21" s="1"/>
  <c r="G22"/>
  <c r="H22" s="1"/>
  <c r="G23"/>
  <c r="H23" s="1"/>
  <c r="G24"/>
  <c r="H24" s="1"/>
  <c r="F25"/>
  <c r="J25" s="1"/>
  <c r="C26"/>
  <c r="K53" i="5" l="1"/>
  <c r="M53" s="1"/>
  <c r="M61"/>
  <c r="I3"/>
  <c r="J21" i="29"/>
  <c r="J24"/>
  <c r="J16"/>
  <c r="J20"/>
  <c r="J23"/>
  <c r="J19"/>
  <c r="F26"/>
  <c r="C15"/>
  <c r="J7"/>
  <c r="J22"/>
  <c r="J18"/>
  <c r="J17"/>
  <c r="F15"/>
  <c r="J13"/>
  <c r="J12"/>
  <c r="J9"/>
  <c r="H15"/>
  <c r="H26"/>
  <c r="G26"/>
  <c r="G15"/>
  <c r="D21" i="42"/>
  <c r="F21" s="1"/>
  <c r="H21" s="1"/>
  <c r="J21" s="1"/>
  <c r="D16"/>
  <c r="F16" s="1"/>
  <c r="B23" i="41"/>
  <c r="B18"/>
  <c r="O13"/>
  <c r="O14"/>
  <c r="O15"/>
  <c r="O19"/>
  <c r="N22"/>
  <c r="M22" s="1"/>
  <c r="O22"/>
  <c r="N23"/>
  <c r="M23" s="1"/>
  <c r="O23"/>
  <c r="O8"/>
  <c r="K3" i="5" l="1"/>
  <c r="M3" s="1"/>
  <c r="J15" i="29"/>
  <c r="J26"/>
  <c r="N21" i="41"/>
  <c r="M21" s="1"/>
  <c r="O21"/>
  <c r="O12"/>
  <c r="D17" i="42"/>
  <c r="F17" s="1"/>
  <c r="H17" s="1"/>
  <c r="J17" s="1"/>
  <c r="C49" i="32"/>
  <c r="E49" s="1"/>
  <c r="C163" i="7"/>
  <c r="R169"/>
  <c r="Q165" i="6"/>
  <c r="R165"/>
  <c r="C165"/>
  <c r="Q152"/>
  <c r="R152"/>
  <c r="C152"/>
  <c r="P139"/>
  <c r="P87" s="1"/>
  <c r="Q139"/>
  <c r="C139"/>
  <c r="Q126"/>
  <c r="R126"/>
  <c r="S126"/>
  <c r="T126"/>
  <c r="C126"/>
  <c r="Q113"/>
  <c r="R113"/>
  <c r="C113"/>
  <c r="Q100"/>
  <c r="R100"/>
  <c r="C100"/>
  <c r="R87"/>
  <c r="S80"/>
  <c r="T80"/>
  <c r="Q74"/>
  <c r="R74"/>
  <c r="C74"/>
  <c r="Q61"/>
  <c r="R61"/>
  <c r="C61"/>
  <c r="Q48"/>
  <c r="R48"/>
  <c r="S48"/>
  <c r="T48"/>
  <c r="C48"/>
  <c r="Q35"/>
  <c r="R35"/>
  <c r="C35"/>
  <c r="Q22"/>
  <c r="C22"/>
  <c r="C9"/>
  <c r="R183"/>
  <c r="Q183"/>
  <c r="P183"/>
  <c r="C183"/>
  <c r="R181"/>
  <c r="Q181"/>
  <c r="P181"/>
  <c r="C181"/>
  <c r="R180"/>
  <c r="Q180"/>
  <c r="P180"/>
  <c r="C180"/>
  <c r="R179"/>
  <c r="Q179"/>
  <c r="P179"/>
  <c r="C179"/>
  <c r="R177"/>
  <c r="Q177"/>
  <c r="C177"/>
  <c r="R176"/>
  <c r="Q176"/>
  <c r="P176"/>
  <c r="C176"/>
  <c r="R175"/>
  <c r="Q175"/>
  <c r="P175"/>
  <c r="C175"/>
  <c r="R174"/>
  <c r="Q174"/>
  <c r="P174"/>
  <c r="C174"/>
  <c r="R173"/>
  <c r="Q173"/>
  <c r="P173"/>
  <c r="C173"/>
  <c r="O5" i="2" s="1"/>
  <c r="R169" i="6"/>
  <c r="Q169"/>
  <c r="C169"/>
  <c r="R156"/>
  <c r="Q156"/>
  <c r="C156"/>
  <c r="R143"/>
  <c r="Q143"/>
  <c r="P143"/>
  <c r="P91" s="1"/>
  <c r="C143"/>
  <c r="C145" s="1"/>
  <c r="R139"/>
  <c r="R145" s="1"/>
  <c r="R130"/>
  <c r="Q130"/>
  <c r="C130"/>
  <c r="R117"/>
  <c r="Q117"/>
  <c r="C117"/>
  <c r="R104"/>
  <c r="Q104"/>
  <c r="C104"/>
  <c r="R91"/>
  <c r="R78"/>
  <c r="Q78"/>
  <c r="C78"/>
  <c r="R65"/>
  <c r="Q65"/>
  <c r="C65"/>
  <c r="R52"/>
  <c r="Q52"/>
  <c r="C52"/>
  <c r="R39"/>
  <c r="Q39"/>
  <c r="C39"/>
  <c r="R26"/>
  <c r="Q26"/>
  <c r="C26"/>
  <c r="R22"/>
  <c r="R13"/>
  <c r="Q13"/>
  <c r="C13"/>
  <c r="R9"/>
  <c r="Q9"/>
  <c r="R167" i="7"/>
  <c r="R166"/>
  <c r="C166"/>
  <c r="R165"/>
  <c r="O10" i="41" s="1"/>
  <c r="C165" i="7"/>
  <c r="R164"/>
  <c r="C164"/>
  <c r="R163"/>
  <c r="O9" i="41" s="1"/>
  <c r="R162" i="7"/>
  <c r="C162"/>
  <c r="R161"/>
  <c r="C161"/>
  <c r="R160"/>
  <c r="C160"/>
  <c r="R26"/>
  <c r="Q26"/>
  <c r="C26"/>
  <c r="C170" l="1"/>
  <c r="O15" i="2"/>
  <c r="R15" i="6"/>
  <c r="AD17" i="41"/>
  <c r="AC17"/>
  <c r="AB17" s="1"/>
  <c r="Q28" i="6"/>
  <c r="E50" i="32"/>
  <c r="G49"/>
  <c r="R28" i="6"/>
  <c r="Q15"/>
  <c r="U126"/>
  <c r="U26"/>
  <c r="U52"/>
  <c r="U65"/>
  <c r="E184"/>
  <c r="C182"/>
  <c r="U104"/>
  <c r="U117"/>
  <c r="U130"/>
  <c r="U22"/>
  <c r="U35"/>
  <c r="Q91"/>
  <c r="U143"/>
  <c r="U156"/>
  <c r="U169"/>
  <c r="U175"/>
  <c r="U176"/>
  <c r="U177"/>
  <c r="U179"/>
  <c r="U180"/>
  <c r="U181"/>
  <c r="U174"/>
  <c r="U173"/>
  <c r="R168" i="7"/>
  <c r="O17" i="41" s="1"/>
  <c r="U39" i="6"/>
  <c r="U78"/>
  <c r="E90" i="32"/>
  <c r="Q170" i="7"/>
  <c r="U183" i="6"/>
  <c r="U9"/>
  <c r="U13"/>
  <c r="R80"/>
  <c r="U48"/>
  <c r="U61"/>
  <c r="U74"/>
  <c r="U113"/>
  <c r="U139"/>
  <c r="U152"/>
  <c r="U165"/>
  <c r="P178"/>
  <c r="C54"/>
  <c r="R41"/>
  <c r="Q145"/>
  <c r="C28"/>
  <c r="Q54"/>
  <c r="R67"/>
  <c r="R93"/>
  <c r="R106"/>
  <c r="R119"/>
  <c r="R132"/>
  <c r="R158"/>
  <c r="R171"/>
  <c r="C15"/>
  <c r="C41"/>
  <c r="Q41"/>
  <c r="R54"/>
  <c r="C67"/>
  <c r="Q67"/>
  <c r="C80"/>
  <c r="Q80"/>
  <c r="C93"/>
  <c r="C106"/>
  <c r="Q106"/>
  <c r="C119"/>
  <c r="Q119"/>
  <c r="C132"/>
  <c r="Q132"/>
  <c r="P145"/>
  <c r="P93" s="1"/>
  <c r="C158"/>
  <c r="Q158"/>
  <c r="C171"/>
  <c r="Q171"/>
  <c r="Q178"/>
  <c r="R182"/>
  <c r="Q17" i="41"/>
  <c r="N15" i="42"/>
  <c r="B19" i="41"/>
  <c r="C178" i="6"/>
  <c r="R178"/>
  <c r="O49" i="32" l="1"/>
  <c r="Q49" s="1"/>
  <c r="I49"/>
  <c r="K49" s="1"/>
  <c r="M49" s="1"/>
  <c r="R13" i="2"/>
  <c r="T13" s="1"/>
  <c r="V13" s="1"/>
  <c r="X13" s="1"/>
  <c r="Z13" s="1"/>
  <c r="S15" i="41"/>
  <c r="U15" s="1"/>
  <c r="W15" s="1"/>
  <c r="U28" i="6"/>
  <c r="Q182"/>
  <c r="Q184" s="1"/>
  <c r="U15"/>
  <c r="E91" i="32"/>
  <c r="G90"/>
  <c r="G50"/>
  <c r="U145" i="6"/>
  <c r="P182"/>
  <c r="Q93"/>
  <c r="C184"/>
  <c r="R184"/>
  <c r="U132"/>
  <c r="U41"/>
  <c r="O18" i="41"/>
  <c r="U171" i="6"/>
  <c r="U106"/>
  <c r="U100"/>
  <c r="U119"/>
  <c r="U67"/>
  <c r="U87"/>
  <c r="U80"/>
  <c r="U178"/>
  <c r="U54"/>
  <c r="U158"/>
  <c r="B22" i="41"/>
  <c r="D20" i="42"/>
  <c r="F20" s="1"/>
  <c r="P16" i="5"/>
  <c r="O26" i="17"/>
  <c r="O21"/>
  <c r="O22"/>
  <c r="O23"/>
  <c r="O24"/>
  <c r="O25"/>
  <c r="N197" i="1"/>
  <c r="P15" i="42" s="1"/>
  <c r="T15" s="1"/>
  <c r="O197" i="1"/>
  <c r="S16" i="2" s="1"/>
  <c r="S20" s="1"/>
  <c r="H19" i="42" l="1"/>
  <c r="J19" s="1"/>
  <c r="J20"/>
  <c r="W12" i="41"/>
  <c r="Y15"/>
  <c r="AA15" s="1"/>
  <c r="K50" i="32"/>
  <c r="K90"/>
  <c r="V10" i="2"/>
  <c r="I90" i="32"/>
  <c r="I91" s="1"/>
  <c r="I50"/>
  <c r="U182" i="6"/>
  <c r="R10" i="2"/>
  <c r="P184" i="6"/>
  <c r="U184" s="1"/>
  <c r="G91" i="32"/>
  <c r="U12" i="41"/>
  <c r="U91" i="6"/>
  <c r="U93"/>
  <c r="D19" i="42"/>
  <c r="F19"/>
  <c r="B21" i="41"/>
  <c r="D21"/>
  <c r="N90" i="32"/>
  <c r="P90"/>
  <c r="AD15" i="41" s="1"/>
  <c r="C90" i="32"/>
  <c r="N20" i="10"/>
  <c r="C20"/>
  <c r="N42" i="11"/>
  <c r="C23"/>
  <c r="C123" i="5" s="1"/>
  <c r="E123" s="1"/>
  <c r="E22" i="12"/>
  <c r="F15"/>
  <c r="G15"/>
  <c r="H15"/>
  <c r="I15"/>
  <c r="J15"/>
  <c r="P197" i="1"/>
  <c r="C197"/>
  <c r="K91" i="32" l="1"/>
  <c r="M91" s="1"/>
  <c r="M90"/>
  <c r="X10" i="2"/>
  <c r="AA13"/>
  <c r="Y12" i="41"/>
  <c r="Q23" i="11"/>
  <c r="Q197" i="1"/>
  <c r="E121" i="5"/>
  <c r="E119" s="1"/>
  <c r="G123"/>
  <c r="Q90" i="32"/>
  <c r="O20" i="10"/>
  <c r="AC15" i="41"/>
  <c r="AB15" s="1"/>
  <c r="Q193" i="1"/>
  <c r="C193"/>
  <c r="N13" i="42" s="1"/>
  <c r="N123" i="5"/>
  <c r="B18" i="2"/>
  <c r="H29" i="29"/>
  <c r="AA12" i="41" l="1"/>
  <c r="Y16"/>
  <c r="AA10" i="2"/>
  <c r="Z10"/>
  <c r="G121" i="5"/>
  <c r="G119" s="1"/>
  <c r="I123"/>
  <c r="G117"/>
  <c r="E117"/>
  <c r="O13" i="2"/>
  <c r="N191" i="1"/>
  <c r="Q191" s="1"/>
  <c r="Q42" i="11"/>
  <c r="R15" i="41"/>
  <c r="R12" s="1"/>
  <c r="D194" i="1"/>
  <c r="O13" i="42"/>
  <c r="O10" s="1"/>
  <c r="Q15" i="41"/>
  <c r="B14" i="17"/>
  <c r="N147" i="1"/>
  <c r="O147"/>
  <c r="P147"/>
  <c r="N134"/>
  <c r="O134"/>
  <c r="P134"/>
  <c r="N128"/>
  <c r="O128"/>
  <c r="P128"/>
  <c r="N122"/>
  <c r="O122"/>
  <c r="P122"/>
  <c r="N115"/>
  <c r="O115"/>
  <c r="P115"/>
  <c r="N109"/>
  <c r="O109"/>
  <c r="P109"/>
  <c r="N102"/>
  <c r="O102"/>
  <c r="P102"/>
  <c r="P95"/>
  <c r="N89"/>
  <c r="O89"/>
  <c r="P89"/>
  <c r="N83"/>
  <c r="O83"/>
  <c r="P83"/>
  <c r="N76"/>
  <c r="O76"/>
  <c r="P76"/>
  <c r="N70"/>
  <c r="O70"/>
  <c r="P70"/>
  <c r="N63"/>
  <c r="O63"/>
  <c r="P63"/>
  <c r="N57"/>
  <c r="O57"/>
  <c r="P57"/>
  <c r="N51"/>
  <c r="O51"/>
  <c r="P51"/>
  <c r="N45"/>
  <c r="O45"/>
  <c r="P45"/>
  <c r="N39"/>
  <c r="O39"/>
  <c r="P39"/>
  <c r="C39"/>
  <c r="N33"/>
  <c r="O33"/>
  <c r="P33"/>
  <c r="C33"/>
  <c r="N27"/>
  <c r="O27"/>
  <c r="P27"/>
  <c r="C27"/>
  <c r="N21"/>
  <c r="O21"/>
  <c r="P21"/>
  <c r="O15"/>
  <c r="P15"/>
  <c r="O9"/>
  <c r="P9"/>
  <c r="Q53" i="32"/>
  <c r="Q52"/>
  <c r="P92"/>
  <c r="Q92" s="1"/>
  <c r="N33"/>
  <c r="O33"/>
  <c r="P33"/>
  <c r="N35"/>
  <c r="N82" s="1"/>
  <c r="P35"/>
  <c r="O73"/>
  <c r="P73"/>
  <c r="P43"/>
  <c r="C33"/>
  <c r="P10"/>
  <c r="N57"/>
  <c r="P57"/>
  <c r="C57"/>
  <c r="I121" i="5" l="1"/>
  <c r="K123"/>
  <c r="M123" s="1"/>
  <c r="E91"/>
  <c r="E87" s="1"/>
  <c r="E84" s="1"/>
  <c r="E83" s="1"/>
  <c r="E97"/>
  <c r="G91"/>
  <c r="G87" s="1"/>
  <c r="G84" s="1"/>
  <c r="G83" s="1"/>
  <c r="G97"/>
  <c r="Q147" i="1"/>
  <c r="E39" i="5"/>
  <c r="E17" s="1"/>
  <c r="E16" s="1"/>
  <c r="E5"/>
  <c r="G17"/>
  <c r="P13" i="42"/>
  <c r="T13" s="1"/>
  <c r="Q21" i="1"/>
  <c r="Q27"/>
  <c r="Q33"/>
  <c r="Q39"/>
  <c r="Q63"/>
  <c r="Q89"/>
  <c r="Q102"/>
  <c r="Q128"/>
  <c r="Q57"/>
  <c r="Q83"/>
  <c r="Q122"/>
  <c r="N84" i="32"/>
  <c r="Q33"/>
  <c r="Q51" i="1"/>
  <c r="Q76"/>
  <c r="Q115"/>
  <c r="Q43" i="32"/>
  <c r="Q45" i="1"/>
  <c r="Q70"/>
  <c r="Q109"/>
  <c r="Q134"/>
  <c r="P190"/>
  <c r="Q9" i="41"/>
  <c r="N7" i="42"/>
  <c r="P7" s="1"/>
  <c r="T7" s="1"/>
  <c r="P44" i="32"/>
  <c r="P45" s="1"/>
  <c r="Q45" s="1"/>
  <c r="P36"/>
  <c r="P37" s="1"/>
  <c r="P82"/>
  <c r="O35"/>
  <c r="O82" s="1"/>
  <c r="N36"/>
  <c r="O57"/>
  <c r="Q57" s="1"/>
  <c r="I119" i="5" l="1"/>
  <c r="I97" s="1"/>
  <c r="I160" s="1"/>
  <c r="K121"/>
  <c r="E4"/>
  <c r="E3" s="1"/>
  <c r="E160" s="1"/>
  <c r="G5"/>
  <c r="G16"/>
  <c r="Q44" i="32"/>
  <c r="N83"/>
  <c r="Q35"/>
  <c r="P83"/>
  <c r="P84"/>
  <c r="AD9" i="41" s="1"/>
  <c r="O36" i="32"/>
  <c r="Q36" s="1"/>
  <c r="P46"/>
  <c r="P38"/>
  <c r="K119" i="5" l="1"/>
  <c r="M119" s="1"/>
  <c r="M121"/>
  <c r="N16"/>
  <c r="Q82" i="32"/>
  <c r="AC7" i="41"/>
  <c r="AB7" s="1"/>
  <c r="G4" i="5"/>
  <c r="G3" s="1"/>
  <c r="G160" s="1"/>
  <c r="G200" i="1" s="1"/>
  <c r="P47" i="32"/>
  <c r="Q46"/>
  <c r="O37"/>
  <c r="Q37" s="1"/>
  <c r="O83"/>
  <c r="Q83" s="1"/>
  <c r="P85"/>
  <c r="P40"/>
  <c r="K97" i="5" l="1"/>
  <c r="M97" s="1"/>
  <c r="F6" i="41"/>
  <c r="F16" s="1"/>
  <c r="F20" s="1"/>
  <c r="F24" s="1"/>
  <c r="P86" i="32"/>
  <c r="Q47"/>
  <c r="P48"/>
  <c r="O84"/>
  <c r="P17" i="30"/>
  <c r="K160" i="5" l="1"/>
  <c r="M160" s="1"/>
  <c r="S17" i="30"/>
  <c r="AD11" i="41"/>
  <c r="Q86" i="32"/>
  <c r="AC9" i="41"/>
  <c r="AB9" s="1"/>
  <c r="Q84" i="32"/>
  <c r="C13" i="16"/>
  <c r="C48" i="32" l="1"/>
  <c r="C25"/>
  <c r="N25"/>
  <c r="O25"/>
  <c r="P25"/>
  <c r="N17"/>
  <c r="O17"/>
  <c r="P17"/>
  <c r="C17"/>
  <c r="N10"/>
  <c r="O10"/>
  <c r="C10"/>
  <c r="N73"/>
  <c r="Q73" s="1"/>
  <c r="N65"/>
  <c r="O65"/>
  <c r="P65"/>
  <c r="C65"/>
  <c r="Q65" l="1"/>
  <c r="Q25"/>
  <c r="Q48"/>
  <c r="Q10"/>
  <c r="Q17"/>
  <c r="P87"/>
  <c r="N13" i="5"/>
  <c r="N4" s="1"/>
  <c r="C13"/>
  <c r="P5"/>
  <c r="P4" s="1"/>
  <c r="P3" s="1"/>
  <c r="U13" i="13" l="1"/>
  <c r="O94" i="1" s="1"/>
  <c r="V13" i="13"/>
  <c r="O95" i="1" l="1"/>
  <c r="O188"/>
  <c r="O79" i="11"/>
  <c r="P79"/>
  <c r="P84"/>
  <c r="P89" i="32" s="1"/>
  <c r="C84" i="11"/>
  <c r="C89" i="32" s="1"/>
  <c r="C91" s="1"/>
  <c r="P71" i="11"/>
  <c r="C71"/>
  <c r="O88" i="32"/>
  <c r="P53" i="11"/>
  <c r="C42"/>
  <c r="C191" i="1" s="1"/>
  <c r="O5" i="11"/>
  <c r="O18" s="1"/>
  <c r="P5"/>
  <c r="E5"/>
  <c r="P88" i="32" l="1"/>
  <c r="Q53" i="11"/>
  <c r="O54"/>
  <c r="O85"/>
  <c r="N89" i="32"/>
  <c r="N91" s="1"/>
  <c r="N85" i="11"/>
  <c r="N54"/>
  <c r="O89" i="32"/>
  <c r="O91" s="1"/>
  <c r="N50"/>
  <c r="O50" s="1"/>
  <c r="C85" i="11"/>
  <c r="AD14" i="41"/>
  <c r="P50" i="32"/>
  <c r="P91" s="1"/>
  <c r="Q79" i="11"/>
  <c r="Q5"/>
  <c r="Q71"/>
  <c r="Q84"/>
  <c r="P54"/>
  <c r="C54"/>
  <c r="N6" i="42"/>
  <c r="P6" s="1"/>
  <c r="T6" s="1"/>
  <c r="AC8" i="41"/>
  <c r="AB8" s="1"/>
  <c r="AD8"/>
  <c r="AD10"/>
  <c r="N5" i="42"/>
  <c r="P5" s="1"/>
  <c r="T5" s="1"/>
  <c r="B26" i="17"/>
  <c r="Q5" i="30"/>
  <c r="P160" i="5"/>
  <c r="O7" i="41" s="1"/>
  <c r="O6" s="1"/>
  <c r="O16" s="1"/>
  <c r="O20" s="1"/>
  <c r="O24" s="1"/>
  <c r="O156" i="5"/>
  <c r="C156"/>
  <c r="C192" i="1"/>
  <c r="C194" s="1"/>
  <c r="F20" i="12"/>
  <c r="G20"/>
  <c r="H20"/>
  <c r="I20"/>
  <c r="J20"/>
  <c r="E20"/>
  <c r="E15"/>
  <c r="D20"/>
  <c r="D15"/>
  <c r="Q85" i="11" l="1"/>
  <c r="AC14" i="41"/>
  <c r="AB14" s="1"/>
  <c r="Q89" i="32"/>
  <c r="C50"/>
  <c r="N12" i="42"/>
  <c r="P12" s="1"/>
  <c r="T12" s="1"/>
  <c r="Q91" i="32"/>
  <c r="Q50"/>
  <c r="Q54" i="11"/>
  <c r="AD7" i="41"/>
  <c r="AD6" s="1"/>
  <c r="B18" i="17"/>
  <c r="I18" s="1"/>
  <c r="Q7" i="41"/>
  <c r="O6" i="2"/>
  <c r="B19" i="17" s="1"/>
  <c r="I19" s="1"/>
  <c r="Q8" i="41"/>
  <c r="O12" i="2"/>
  <c r="B24" i="17" s="1"/>
  <c r="Q14" i="41"/>
  <c r="C153" i="5"/>
  <c r="Q25" i="30"/>
  <c r="Q24" s="1"/>
  <c r="C25"/>
  <c r="C24" s="1"/>
  <c r="R29"/>
  <c r="C17"/>
  <c r="P12"/>
  <c r="C12"/>
  <c r="C10" s="1"/>
  <c r="C6"/>
  <c r="N156" i="5"/>
  <c r="S10" i="30" l="1"/>
  <c r="S12"/>
  <c r="S5"/>
  <c r="S6"/>
  <c r="P24"/>
  <c r="S24" s="1"/>
  <c r="S25"/>
  <c r="B15" i="2"/>
  <c r="B17" i="41"/>
  <c r="N17"/>
  <c r="M17" s="1"/>
  <c r="D15" i="42"/>
  <c r="F15" s="1"/>
  <c r="J15" s="1"/>
  <c r="N153" i="5"/>
  <c r="C5" i="30"/>
  <c r="N98" i="5"/>
  <c r="C98"/>
  <c r="Q29" i="30" l="1"/>
  <c r="P29"/>
  <c r="C29"/>
  <c r="C14" i="43"/>
  <c r="S29" i="30" l="1"/>
  <c r="C26" i="43"/>
  <c r="F21" i="12"/>
  <c r="G21"/>
  <c r="H21"/>
  <c r="I21"/>
  <c r="J21"/>
  <c r="G22"/>
  <c r="E21"/>
  <c r="D5" i="43" l="1"/>
  <c r="D14" s="1"/>
  <c r="F22" i="12"/>
  <c r="D26" i="43" l="1"/>
  <c r="E5" s="1"/>
  <c r="E14" s="1"/>
  <c r="E26" s="1"/>
  <c r="F5" s="1"/>
  <c r="F14" s="1"/>
  <c r="F26" s="1"/>
  <c r="G5" s="1"/>
  <c r="G14" s="1"/>
  <c r="G26" s="1"/>
  <c r="H5" s="1"/>
  <c r="H14" s="1"/>
  <c r="H26" s="1"/>
  <c r="I5" s="1"/>
  <c r="I14" s="1"/>
  <c r="I26" s="1"/>
  <c r="J5" s="1"/>
  <c r="J14" s="1"/>
  <c r="J26" s="1"/>
  <c r="K5" s="1"/>
  <c r="K14" s="1"/>
  <c r="K26" s="1"/>
  <c r="L5" s="1"/>
  <c r="L14" s="1"/>
  <c r="L26" s="1"/>
  <c r="M5" s="1"/>
  <c r="M14" s="1"/>
  <c r="M26" s="1"/>
  <c r="N5" s="1"/>
  <c r="N14" s="1"/>
  <c r="N26" s="1"/>
  <c r="H22" i="12"/>
  <c r="I22" l="1"/>
  <c r="J22" l="1"/>
  <c r="O38" i="32" l="1"/>
  <c r="O85" s="1"/>
  <c r="N85" l="1"/>
  <c r="Q85" s="1"/>
  <c r="U12" i="35"/>
  <c r="AC10" i="41"/>
  <c r="O40" i="32"/>
  <c r="O87" s="1"/>
  <c r="J45" i="12"/>
  <c r="J61" s="1"/>
  <c r="I45"/>
  <c r="I61" s="1"/>
  <c r="H45"/>
  <c r="H61" s="1"/>
  <c r="G45"/>
  <c r="G61" s="1"/>
  <c r="F45"/>
  <c r="F61" s="1"/>
  <c r="E45"/>
  <c r="E61" s="1"/>
  <c r="D45"/>
  <c r="C61"/>
  <c r="J41"/>
  <c r="I41"/>
  <c r="H41"/>
  <c r="G41"/>
  <c r="F41"/>
  <c r="E41"/>
  <c r="D41"/>
  <c r="C41"/>
  <c r="Q38" i="32" l="1"/>
  <c r="N40"/>
  <c r="O93"/>
  <c r="L7" i="10"/>
  <c r="O7" s="1"/>
  <c r="N15" i="1"/>
  <c r="Q15" s="1"/>
  <c r="N9"/>
  <c r="Q9" s="1"/>
  <c r="O153" i="5"/>
  <c r="O145"/>
  <c r="N149"/>
  <c r="P129"/>
  <c r="Q40" i="32" l="1"/>
  <c r="N87"/>
  <c r="N93" s="1"/>
  <c r="Q93" s="1"/>
  <c r="N144" i="5"/>
  <c r="L5" i="10"/>
  <c r="N194" i="1"/>
  <c r="AC13" i="41"/>
  <c r="AB13" s="1"/>
  <c r="O194" i="1"/>
  <c r="O189"/>
  <c r="M27" i="10"/>
  <c r="O144" i="5"/>
  <c r="Q194" i="1" l="1"/>
  <c r="AC12" i="41"/>
  <c r="AB12"/>
  <c r="N15"/>
  <c r="M15" s="1"/>
  <c r="O140" i="5"/>
  <c r="O139" s="1"/>
  <c r="N10" i="41" s="1"/>
  <c r="M10" s="1"/>
  <c r="N140" i="5"/>
  <c r="Q87" i="32"/>
  <c r="L27" i="10"/>
  <c r="O27" s="1"/>
  <c r="O5"/>
  <c r="O190" i="1"/>
  <c r="O198" s="1"/>
  <c r="AC11" i="41"/>
  <c r="AC6" l="1"/>
  <c r="AC16" s="1"/>
  <c r="O137" i="5"/>
  <c r="O129" s="1"/>
  <c r="O16"/>
  <c r="N139"/>
  <c r="O9" i="42"/>
  <c r="O4" s="1"/>
  <c r="O14" s="1"/>
  <c r="D198" i="1"/>
  <c r="R11" i="41"/>
  <c r="R6" s="1"/>
  <c r="R16" s="1"/>
  <c r="AC20" l="1"/>
  <c r="AC24" s="1"/>
  <c r="J25"/>
  <c r="L25" s="1"/>
  <c r="O119" i="5"/>
  <c r="O117" s="1"/>
  <c r="O97" s="1"/>
  <c r="O128"/>
  <c r="O87"/>
  <c r="O84" s="1"/>
  <c r="N137"/>
  <c r="D162"/>
  <c r="D201" i="1"/>
  <c r="R20" i="41"/>
  <c r="R24" s="1"/>
  <c r="C25"/>
  <c r="O18" i="42"/>
  <c r="O22" s="1"/>
  <c r="E23"/>
  <c r="C20" i="16"/>
  <c r="J20" s="1"/>
  <c r="C19"/>
  <c r="O91" i="5" l="1"/>
  <c r="O83" s="1"/>
  <c r="N8" i="41" s="1"/>
  <c r="M8" s="1"/>
  <c r="N9"/>
  <c r="M9" s="1"/>
  <c r="N14"/>
  <c r="M14" s="1"/>
  <c r="N129" i="5"/>
  <c r="O5"/>
  <c r="O4" s="1"/>
  <c r="O53" s="1"/>
  <c r="O3" s="1"/>
  <c r="J19" i="16"/>
  <c r="J18" s="1"/>
  <c r="J22" s="1"/>
  <c r="O7" i="2"/>
  <c r="B20" i="17" s="1"/>
  <c r="I20" s="1"/>
  <c r="O160" i="5" l="1"/>
  <c r="N7" i="41"/>
  <c r="M7" s="1"/>
  <c r="N12"/>
  <c r="N121" i="5"/>
  <c r="N6" i="41" l="1"/>
  <c r="N16" s="1"/>
  <c r="N25" s="1"/>
  <c r="N119" i="5"/>
  <c r="F27" i="29"/>
  <c r="F28"/>
  <c r="N20" i="41" l="1"/>
  <c r="N24" s="1"/>
  <c r="N117" i="5"/>
  <c r="F29" i="29"/>
  <c r="N97" i="5" l="1"/>
  <c r="C149"/>
  <c r="B19" i="2" l="1"/>
  <c r="N87" i="5" l="1"/>
  <c r="B15" i="17"/>
  <c r="B17" i="2"/>
  <c r="N84" i="5" l="1"/>
  <c r="C7" i="4"/>
  <c r="C17" s="1"/>
  <c r="G10" i="13"/>
  <c r="N83" i="5" l="1"/>
  <c r="G7" i="4"/>
  <c r="B25" i="17" l="1"/>
  <c r="C9" i="1"/>
  <c r="C147"/>
  <c r="C134"/>
  <c r="C128"/>
  <c r="C122"/>
  <c r="C115"/>
  <c r="C109"/>
  <c r="C102"/>
  <c r="C89"/>
  <c r="C83"/>
  <c r="C76"/>
  <c r="C70"/>
  <c r="C63"/>
  <c r="C51"/>
  <c r="C45"/>
  <c r="C21"/>
  <c r="C15"/>
  <c r="C27" i="10" l="1"/>
  <c r="C57" i="1"/>
  <c r="N11" i="42"/>
  <c r="P11" s="1"/>
  <c r="R10" l="1"/>
  <c r="T10" s="1"/>
  <c r="T11"/>
  <c r="C16" i="5"/>
  <c r="N10" i="42"/>
  <c r="P10"/>
  <c r="Q11" i="41"/>
  <c r="N9" i="42"/>
  <c r="P9" s="1"/>
  <c r="T9" s="1"/>
  <c r="Q13" i="41"/>
  <c r="O9" i="2"/>
  <c r="O11"/>
  <c r="B23" i="17" s="1"/>
  <c r="C145" i="5"/>
  <c r="R9" i="2" l="1"/>
  <c r="V9" s="1"/>
  <c r="S11" i="41"/>
  <c r="C144" i="5"/>
  <c r="B13" i="2" s="1"/>
  <c r="B11" i="17" s="1"/>
  <c r="F11" i="42"/>
  <c r="B9" i="17"/>
  <c r="Q12" i="41"/>
  <c r="S12"/>
  <c r="J11" i="42" l="1"/>
  <c r="AA9" i="2"/>
  <c r="Z9"/>
  <c r="AB11" i="41"/>
  <c r="B15"/>
  <c r="I9" i="17"/>
  <c r="M9"/>
  <c r="F9"/>
  <c r="E9"/>
  <c r="J9"/>
  <c r="G9"/>
  <c r="H9"/>
  <c r="K9"/>
  <c r="L9"/>
  <c r="D13" i="42"/>
  <c r="C140" i="5"/>
  <c r="C139" s="1"/>
  <c r="D12" i="41"/>
  <c r="B8" i="2" l="1"/>
  <c r="B8" i="17" s="1"/>
  <c r="B10" i="41"/>
  <c r="F13" i="42"/>
  <c r="D8"/>
  <c r="F8" s="1"/>
  <c r="C137" i="5"/>
  <c r="C129" s="1"/>
  <c r="H12" i="35"/>
  <c r="H13" i="13"/>
  <c r="J8" i="42" l="1"/>
  <c r="M189" i="1"/>
  <c r="Q189"/>
  <c r="C121" i="5"/>
  <c r="C119" s="1"/>
  <c r="C117" s="1"/>
  <c r="C105" s="1"/>
  <c r="C97" s="1"/>
  <c r="C128"/>
  <c r="J13" i="42"/>
  <c r="G10" i="4"/>
  <c r="G11"/>
  <c r="G12"/>
  <c r="G13"/>
  <c r="G14"/>
  <c r="G15"/>
  <c r="F16"/>
  <c r="F17" s="1"/>
  <c r="D12" i="42" l="1"/>
  <c r="B14" i="41"/>
  <c r="B12" s="1"/>
  <c r="B12" i="2"/>
  <c r="C91" i="5"/>
  <c r="C87" s="1"/>
  <c r="C84" s="1"/>
  <c r="C83" s="1"/>
  <c r="D6" i="42" s="1"/>
  <c r="F6" s="1"/>
  <c r="C39" i="5"/>
  <c r="C5" s="1"/>
  <c r="C4" s="1"/>
  <c r="D13" i="13"/>
  <c r="F6"/>
  <c r="J6" i="42" l="1"/>
  <c r="B10" i="17"/>
  <c r="B10" i="2"/>
  <c r="B8" i="41"/>
  <c r="B6" i="2"/>
  <c r="B6" i="17" s="1"/>
  <c r="I6" s="1"/>
  <c r="C53" i="5"/>
  <c r="C3" s="1"/>
  <c r="C160" s="1"/>
  <c r="B7" i="2"/>
  <c r="B7" i="17" s="1"/>
  <c r="I7" s="1"/>
  <c r="D7" i="42"/>
  <c r="F7" s="1"/>
  <c r="B9" i="41"/>
  <c r="F12" i="42"/>
  <c r="D10"/>
  <c r="F17" i="16"/>
  <c r="H17" s="1"/>
  <c r="F12"/>
  <c r="H12" s="1"/>
  <c r="F11"/>
  <c r="H11" s="1"/>
  <c r="F10"/>
  <c r="H10" s="1"/>
  <c r="F9"/>
  <c r="F6"/>
  <c r="H6" s="1"/>
  <c r="F7"/>
  <c r="H7" s="1"/>
  <c r="F5"/>
  <c r="H5" s="1"/>
  <c r="F4"/>
  <c r="G6" i="35"/>
  <c r="G5"/>
  <c r="G5" i="13"/>
  <c r="G6"/>
  <c r="G7"/>
  <c r="G8"/>
  <c r="G9"/>
  <c r="J7" i="42" l="1"/>
  <c r="F10"/>
  <c r="H9" i="16"/>
  <c r="H8" s="1"/>
  <c r="F8"/>
  <c r="N94" i="1"/>
  <c r="W13" i="13"/>
  <c r="H4" i="16"/>
  <c r="F22"/>
  <c r="I13" i="13"/>
  <c r="I12" i="35"/>
  <c r="O15" i="17"/>
  <c r="D12" i="35"/>
  <c r="F12"/>
  <c r="E12"/>
  <c r="C12"/>
  <c r="M12" s="1"/>
  <c r="F13" i="13"/>
  <c r="E13"/>
  <c r="C13"/>
  <c r="C29" i="29"/>
  <c r="J28"/>
  <c r="E27"/>
  <c r="C8" i="16"/>
  <c r="C18"/>
  <c r="O9" i="17"/>
  <c r="H10" i="42" l="1"/>
  <c r="J10" s="1"/>
  <c r="J12"/>
  <c r="Q94" i="1"/>
  <c r="N188"/>
  <c r="Q188" s="1"/>
  <c r="N95"/>
  <c r="Q95" s="1"/>
  <c r="H22" i="16"/>
  <c r="C22"/>
  <c r="C38" i="32"/>
  <c r="J27" i="29"/>
  <c r="E29"/>
  <c r="G29"/>
  <c r="C94" i="1"/>
  <c r="D29" i="29"/>
  <c r="D21" i="12"/>
  <c r="P9" i="17"/>
  <c r="P13"/>
  <c r="G12" i="35"/>
  <c r="P14" i="17"/>
  <c r="G13" i="13"/>
  <c r="E23" i="12"/>
  <c r="N190" i="1" l="1"/>
  <c r="C85" i="32"/>
  <c r="E38"/>
  <c r="G38" s="1"/>
  <c r="I38" s="1"/>
  <c r="C188" i="1"/>
  <c r="G94"/>
  <c r="I94" s="1"/>
  <c r="K94" s="1"/>
  <c r="C40" i="32"/>
  <c r="P17" i="2"/>
  <c r="P20" s="1"/>
  <c r="J29" i="29"/>
  <c r="F23" i="12"/>
  <c r="C95" i="1"/>
  <c r="G17" i="4"/>
  <c r="K188" i="1" l="1"/>
  <c r="K190" s="1"/>
  <c r="M94"/>
  <c r="K38" i="32"/>
  <c r="I85"/>
  <c r="Q190" i="1"/>
  <c r="N198"/>
  <c r="Q198" s="1"/>
  <c r="K95"/>
  <c r="M95" s="1"/>
  <c r="I188"/>
  <c r="I190" s="1"/>
  <c r="I198" s="1"/>
  <c r="I95"/>
  <c r="I40" i="32"/>
  <c r="G40"/>
  <c r="G87" s="1"/>
  <c r="G93" s="1"/>
  <c r="G85"/>
  <c r="G95" i="1"/>
  <c r="G188"/>
  <c r="Q16" i="2"/>
  <c r="E85" i="32"/>
  <c r="E40"/>
  <c r="N8" i="42"/>
  <c r="P8" s="1"/>
  <c r="E188" i="1"/>
  <c r="E95"/>
  <c r="C190"/>
  <c r="C198" s="1"/>
  <c r="C87" i="32"/>
  <c r="C93" s="1"/>
  <c r="C96" s="1"/>
  <c r="O8" i="2"/>
  <c r="B21" i="17" s="1"/>
  <c r="Q10" i="41"/>
  <c r="B22" i="17"/>
  <c r="G23" i="12"/>
  <c r="Q17" i="2"/>
  <c r="P24" i="17"/>
  <c r="E8"/>
  <c r="H8"/>
  <c r="K8"/>
  <c r="H10"/>
  <c r="P12"/>
  <c r="H19"/>
  <c r="G19"/>
  <c r="E19"/>
  <c r="C19"/>
  <c r="M19"/>
  <c r="F19"/>
  <c r="K19"/>
  <c r="L19"/>
  <c r="J19"/>
  <c r="D19"/>
  <c r="R4" i="42" l="1"/>
  <c r="T8"/>
  <c r="K85" i="32"/>
  <c r="M85" s="1"/>
  <c r="M38"/>
  <c r="M188" i="1"/>
  <c r="K40" i="32"/>
  <c r="M40" s="1"/>
  <c r="I87"/>
  <c r="I93" s="1"/>
  <c r="R8" i="2"/>
  <c r="S10" i="41"/>
  <c r="U10" s="1"/>
  <c r="G190" i="1"/>
  <c r="G198" s="1"/>
  <c r="G201" s="1"/>
  <c r="Q20" i="2"/>
  <c r="E87" i="32"/>
  <c r="E93" s="1"/>
  <c r="E96" s="1"/>
  <c r="E190" i="1"/>
  <c r="E198" s="1"/>
  <c r="N4" i="42"/>
  <c r="N14" s="1"/>
  <c r="P4"/>
  <c r="P14" s="1"/>
  <c r="Q6" i="41"/>
  <c r="Q16" s="1"/>
  <c r="P22" i="17"/>
  <c r="O19"/>
  <c r="P19" s="1"/>
  <c r="O4" i="2"/>
  <c r="I23" i="12"/>
  <c r="H23"/>
  <c r="O8" i="17"/>
  <c r="P15"/>
  <c r="C6"/>
  <c r="J6"/>
  <c r="H6"/>
  <c r="E6"/>
  <c r="G6"/>
  <c r="D6"/>
  <c r="F6"/>
  <c r="L6"/>
  <c r="K6"/>
  <c r="M6"/>
  <c r="K10"/>
  <c r="R14" i="42" l="1"/>
  <c r="T4"/>
  <c r="M190" i="1"/>
  <c r="K198"/>
  <c r="M198" s="1"/>
  <c r="K87" i="32"/>
  <c r="W10" i="41"/>
  <c r="AA10" s="1"/>
  <c r="S6"/>
  <c r="S16" s="1"/>
  <c r="S20" s="1"/>
  <c r="S24" s="1"/>
  <c r="U6"/>
  <c r="U16" s="1"/>
  <c r="F25" s="1"/>
  <c r="R4" i="2"/>
  <c r="R14" s="1"/>
  <c r="R16" s="1"/>
  <c r="T8"/>
  <c r="V8" s="1"/>
  <c r="B5"/>
  <c r="B5" i="17" s="1"/>
  <c r="I5" s="1"/>
  <c r="D5" i="42"/>
  <c r="B7" i="41"/>
  <c r="B6" s="1"/>
  <c r="B16" s="1"/>
  <c r="B20" s="1"/>
  <c r="B24" s="1"/>
  <c r="C200" i="1"/>
  <c r="C201" s="1"/>
  <c r="N18" i="42"/>
  <c r="N22" s="1"/>
  <c r="P18"/>
  <c r="P22" s="1"/>
  <c r="Q20" i="41"/>
  <c r="Q24" s="1"/>
  <c r="P8" i="17"/>
  <c r="C7"/>
  <c r="J7"/>
  <c r="F7"/>
  <c r="E7"/>
  <c r="G7"/>
  <c r="M7"/>
  <c r="D7"/>
  <c r="K7"/>
  <c r="L7"/>
  <c r="H7"/>
  <c r="J23" i="12"/>
  <c r="R17" i="2"/>
  <c r="P23" i="17"/>
  <c r="H20"/>
  <c r="P25"/>
  <c r="O6"/>
  <c r="O10"/>
  <c r="O11"/>
  <c r="P11" s="1"/>
  <c r="O10" i="2"/>
  <c r="T14" i="42" l="1"/>
  <c r="R18"/>
  <c r="K93" i="32"/>
  <c r="M93" s="1"/>
  <c r="M87"/>
  <c r="AB10" i="41"/>
  <c r="W6"/>
  <c r="W16" s="1"/>
  <c r="H25" s="1"/>
  <c r="T4" i="2"/>
  <c r="U20" i="41"/>
  <c r="U24" s="1"/>
  <c r="R20" i="2"/>
  <c r="B4"/>
  <c r="F5" i="42"/>
  <c r="D4"/>
  <c r="D14" s="1"/>
  <c r="B25" i="41"/>
  <c r="P10" i="17"/>
  <c r="P6"/>
  <c r="O14" i="2"/>
  <c r="O7" i="17"/>
  <c r="B27"/>
  <c r="J20"/>
  <c r="L20"/>
  <c r="D20"/>
  <c r="M20"/>
  <c r="E20"/>
  <c r="K20"/>
  <c r="G20"/>
  <c r="F20"/>
  <c r="C20"/>
  <c r="J18"/>
  <c r="F18"/>
  <c r="F27" s="1"/>
  <c r="C18"/>
  <c r="K18"/>
  <c r="E18"/>
  <c r="M18"/>
  <c r="L18"/>
  <c r="D18"/>
  <c r="H18"/>
  <c r="H27" s="1"/>
  <c r="G18"/>
  <c r="C27" l="1"/>
  <c r="R22" i="42"/>
  <c r="T18"/>
  <c r="T22" s="1"/>
  <c r="K163" i="5"/>
  <c r="AA6" i="41"/>
  <c r="W20"/>
  <c r="W24" s="1"/>
  <c r="V4" i="2"/>
  <c r="V14" s="1"/>
  <c r="I21" s="1"/>
  <c r="Z8"/>
  <c r="AB6" i="41"/>
  <c r="D18" i="42"/>
  <c r="D22" s="1"/>
  <c r="D23"/>
  <c r="F4"/>
  <c r="F14" s="1"/>
  <c r="D27" i="17"/>
  <c r="P7"/>
  <c r="G27"/>
  <c r="L27"/>
  <c r="E27"/>
  <c r="I27"/>
  <c r="N27"/>
  <c r="M27"/>
  <c r="K27"/>
  <c r="J27"/>
  <c r="O20"/>
  <c r="P20" s="1"/>
  <c r="O16" i="2"/>
  <c r="O20" s="1"/>
  <c r="O18" i="17"/>
  <c r="P18" s="1"/>
  <c r="P21"/>
  <c r="V16" i="2" l="1"/>
  <c r="V20" s="1"/>
  <c r="H4" i="42"/>
  <c r="J5"/>
  <c r="Y20" i="41"/>
  <c r="AA16"/>
  <c r="X4" i="2"/>
  <c r="Z4" s="1"/>
  <c r="AA8"/>
  <c r="AB16" i="41"/>
  <c r="F18" i="42"/>
  <c r="F22" s="1"/>
  <c r="F23"/>
  <c r="H14" l="1"/>
  <c r="J4"/>
  <c r="Y24" i="41"/>
  <c r="AA24" s="1"/>
  <c r="AA20"/>
  <c r="X14" i="2"/>
  <c r="Z14" s="1"/>
  <c r="AA4"/>
  <c r="AB20" i="41"/>
  <c r="AB24" s="1"/>
  <c r="F5" i="17"/>
  <c r="F16" s="1"/>
  <c r="B16"/>
  <c r="B30" s="1"/>
  <c r="J5"/>
  <c r="J16" s="1"/>
  <c r="H5"/>
  <c r="H16" s="1"/>
  <c r="E5"/>
  <c r="E16" s="1"/>
  <c r="G5"/>
  <c r="G16" s="1"/>
  <c r="I16"/>
  <c r="D5"/>
  <c r="D16" s="1"/>
  <c r="M5"/>
  <c r="M16" s="1"/>
  <c r="N16"/>
  <c r="L5"/>
  <c r="L16" s="1"/>
  <c r="K5"/>
  <c r="K16" s="1"/>
  <c r="C5"/>
  <c r="J14" i="42" l="1"/>
  <c r="H23"/>
  <c r="H18"/>
  <c r="X16" i="2"/>
  <c r="Z16" s="1"/>
  <c r="AA14"/>
  <c r="B14"/>
  <c r="O5" i="17"/>
  <c r="C16"/>
  <c r="C28" s="1"/>
  <c r="D28" s="1"/>
  <c r="E28" s="1"/>
  <c r="F28" s="1"/>
  <c r="G28" s="1"/>
  <c r="H28" s="1"/>
  <c r="I28" s="1"/>
  <c r="J28" s="1"/>
  <c r="K28" s="1"/>
  <c r="L28" s="1"/>
  <c r="M28" s="1"/>
  <c r="N28" s="1"/>
  <c r="H22" i="42" l="1"/>
  <c r="J22" s="1"/>
  <c r="J18"/>
  <c r="X20" i="2"/>
  <c r="AA16"/>
  <c r="B16"/>
  <c r="B20" s="1"/>
  <c r="P5" i="17"/>
  <c r="AA20" i="2" l="1"/>
  <c r="Z20"/>
  <c r="D61" i="12"/>
  <c r="E35" i="7"/>
  <c r="D6" i="41" l="1"/>
  <c r="D16" s="1"/>
  <c r="E167" i="7"/>
  <c r="E169" s="1"/>
  <c r="P168"/>
  <c r="E38"/>
  <c r="E170" l="1"/>
  <c r="E200" i="1"/>
  <c r="E201" s="1"/>
  <c r="D25" i="41"/>
  <c r="D20"/>
  <c r="D24" s="1"/>
  <c r="E4" i="2"/>
  <c r="G4"/>
  <c r="G14" l="1"/>
  <c r="E14"/>
  <c r="E21" s="1"/>
  <c r="D21" l="1"/>
  <c r="G16"/>
  <c r="E16"/>
  <c r="E20" s="1"/>
  <c r="Q88" i="32"/>
  <c r="AD13" i="41"/>
  <c r="G20" i="2" l="1"/>
  <c r="AD12" i="41"/>
  <c r="AD16" s="1"/>
  <c r="AD20" s="1"/>
  <c r="AD24" l="1"/>
  <c r="N134" i="5"/>
  <c r="N3" l="1"/>
  <c r="N128"/>
  <c r="N160" l="1"/>
  <c r="M12" i="41"/>
  <c r="M6"/>
  <c r="M16" l="1"/>
  <c r="M20" l="1"/>
  <c r="M25"/>
  <c r="M24" l="1"/>
  <c r="H167" i="7"/>
  <c r="I23"/>
  <c r="H26"/>
  <c r="H170" s="1"/>
  <c r="I167" l="1"/>
  <c r="K23"/>
  <c r="I26"/>
  <c r="I170" s="1"/>
  <c r="T10" i="2"/>
  <c r="T14" s="1"/>
  <c r="K26" i="7" l="1"/>
  <c r="M23"/>
  <c r="O23" s="1"/>
  <c r="G21" i="2"/>
  <c r="T16"/>
  <c r="P23" i="7" l="1"/>
  <c r="M26"/>
  <c r="O26" s="1"/>
  <c r="T20" i="2"/>
  <c r="J11" i="7"/>
  <c r="P26" l="1"/>
  <c r="J167"/>
  <c r="K11"/>
  <c r="J14"/>
  <c r="K167" l="1"/>
  <c r="O11"/>
  <c r="K14"/>
  <c r="K170" s="1"/>
  <c r="J170"/>
  <c r="M167" l="1"/>
  <c r="O167" s="1"/>
  <c r="P11"/>
  <c r="M14"/>
  <c r="M170" s="1"/>
  <c r="O170" l="1"/>
  <c r="O14"/>
  <c r="P14"/>
  <c r="P167"/>
  <c r="P170" l="1"/>
  <c r="P169"/>
  <c r="Q171" i="1"/>
</calcChain>
</file>

<file path=xl/comments1.xml><?xml version="1.0" encoding="utf-8"?>
<comments xmlns="http://schemas.openxmlformats.org/spreadsheetml/2006/main">
  <authors>
    <author>Kovács Anikó</author>
  </authors>
  <commentList>
    <comment ref="C32" authorId="0">
      <text>
        <r>
          <rPr>
            <b/>
            <sz val="9"/>
            <color indexed="81"/>
            <rFont val="Tahoma"/>
            <family val="2"/>
            <charset val="238"/>
          </rPr>
          <t>Kovács Anikó:</t>
        </r>
        <r>
          <rPr>
            <sz val="9"/>
            <color indexed="81"/>
            <rFont val="Tahoma"/>
            <family val="2"/>
            <charset val="238"/>
          </rPr>
          <t xml:space="preserve">
Európai Szociális Alap: 10%
</t>
        </r>
      </text>
    </comment>
    <comment ref="C33" authorId="0">
      <text>
        <r>
          <rPr>
            <b/>
            <sz val="9"/>
            <color indexed="81"/>
            <rFont val="Tahoma"/>
            <family val="2"/>
            <charset val="238"/>
          </rPr>
          <t>Kovács Anikó:</t>
        </r>
        <r>
          <rPr>
            <sz val="9"/>
            <color indexed="81"/>
            <rFont val="Tahoma"/>
            <family val="2"/>
            <charset val="238"/>
          </rPr>
          <t xml:space="preserve">
Magyarország költségvetése társfinanszírozásban: 90%</t>
        </r>
      </text>
    </comment>
    <comment ref="D33" authorId="0">
      <text>
        <r>
          <rPr>
            <b/>
            <sz val="9"/>
            <color indexed="81"/>
            <rFont val="Tahoma"/>
            <family val="2"/>
            <charset val="238"/>
          </rPr>
          <t>Kovács Anikó:</t>
        </r>
        <r>
          <rPr>
            <sz val="9"/>
            <color indexed="81"/>
            <rFont val="Tahoma"/>
            <family val="2"/>
            <charset val="238"/>
          </rPr>
          <t xml:space="preserve">
Előleg: 2013.12.17</t>
        </r>
      </text>
    </comment>
  </commentList>
</comments>
</file>

<file path=xl/sharedStrings.xml><?xml version="1.0" encoding="utf-8"?>
<sst xmlns="http://schemas.openxmlformats.org/spreadsheetml/2006/main" count="2956" uniqueCount="1299">
  <si>
    <t>KEOP-7.1.0/11-2011-0007 Nagykőrös Város Ivóvízminőség javító beruházása</t>
  </si>
  <si>
    <t xml:space="preserve">   KÖLTSÉGVETÉSI BEVÉTELEK ÖSSZESEN</t>
  </si>
  <si>
    <t>Foglalkoztatást helyettesítő támogatás</t>
  </si>
  <si>
    <t xml:space="preserve"> ebből: Óvoda Konyha</t>
  </si>
  <si>
    <t xml:space="preserve"> ebből: Parkfenntartás</t>
  </si>
  <si>
    <t xml:space="preserve"> ebből : Óvodakonyha</t>
  </si>
  <si>
    <t xml:space="preserve"> ebből: Központi irányítás TMK, Cifrakert, Sportpálya</t>
  </si>
  <si>
    <t>Parkfenntrtás</t>
  </si>
  <si>
    <t>Balatonakali tábor</t>
  </si>
  <si>
    <t>Hazai és uniós pályázati támogatással megvalósuló feladatok</t>
  </si>
  <si>
    <t>Címrend</t>
  </si>
  <si>
    <t>Cím száma</t>
  </si>
  <si>
    <t>Cím neve</t>
  </si>
  <si>
    <t>Európai uniós támogatással megvalósuló programok, projektek bevételei és kiadásai</t>
  </si>
  <si>
    <t>A program, projekt költségvetése</t>
  </si>
  <si>
    <t>2010. évben pénzügyileg teljesített</t>
  </si>
  <si>
    <t>2011. évben pénzügyileg teljesített</t>
  </si>
  <si>
    <t>EU támogatás</t>
  </si>
  <si>
    <t>Hazai társfinanszírozás</t>
  </si>
  <si>
    <t>BM EU Önerő Alap támogatás</t>
  </si>
  <si>
    <t>Saját erő felhasználás</t>
  </si>
  <si>
    <t>Támogatásértékű bevétel</t>
  </si>
  <si>
    <t>Végleges pénzeszközátvétel</t>
  </si>
  <si>
    <t>Hitelfelvétel</t>
  </si>
  <si>
    <t>Pénzmaradvány</t>
  </si>
  <si>
    <t>Visszaigényelhető ÁFA-bevétel</t>
  </si>
  <si>
    <t>Utófinanszírozás miatti megelőlegezés</t>
  </si>
  <si>
    <t>BEVÉTELEK MINDÖSSZESEN:</t>
  </si>
  <si>
    <t>Beruházási kiadások (ÁFA nélkül)</t>
  </si>
  <si>
    <t>Beruházási kiadások általános forgalmi adója</t>
  </si>
  <si>
    <t>Felújítások (ÁFA nélkül)</t>
  </si>
  <si>
    <t>Felújítások általános forgalmi adója</t>
  </si>
  <si>
    <t>Támogatásértékű kadások</t>
  </si>
  <si>
    <t>Végleges pénzeszközátadások</t>
  </si>
  <si>
    <t>Átfutó kiadásként elszámolt kifizetések</t>
  </si>
  <si>
    <t>Elszámolható kiadások összesen</t>
  </si>
  <si>
    <t>Nem támogatott kiadások</t>
  </si>
  <si>
    <t>KEOP - 1.2.0. - 2F - 2009-0015 szennyvízkezelés fejlesztése</t>
  </si>
  <si>
    <t>Óvoda Konyha</t>
  </si>
  <si>
    <t>Csaba és Társa 2003 Bt.</t>
  </si>
  <si>
    <t>Személyi juttatások</t>
  </si>
  <si>
    <t>Munkaadókat terhelő járulékok</t>
  </si>
  <si>
    <t>Ellátottak pénzbeli juttatása</t>
  </si>
  <si>
    <t>Bevételek</t>
  </si>
  <si>
    <t>Kiadások</t>
  </si>
  <si>
    <t>MŰKÖDÉSI CÉLÚ BEVÉTELEK</t>
  </si>
  <si>
    <t>MŰKÖDÉSI CÉLÚ KIADÁSOK</t>
  </si>
  <si>
    <t>Működési bevételek</t>
  </si>
  <si>
    <t>Dologi és egyéb folyó kiadások</t>
  </si>
  <si>
    <t>Hazai és uniós támogatással megvalósuló feladartok</t>
  </si>
  <si>
    <t>Ellátottak pénzbeli juttatásai</t>
  </si>
  <si>
    <t>Pénzmaradvány működési célú felhasználása</t>
  </si>
  <si>
    <t>FELHALMOZÁSI CÉLÚ BEVÉTELEK</t>
  </si>
  <si>
    <t>FELHALMOZÁSI CÉLÚ KIADÁSOK</t>
  </si>
  <si>
    <t>Felújítások</t>
  </si>
  <si>
    <t>Pénzmaradvány felhalmozási célú felhasználása</t>
  </si>
  <si>
    <t>KÖLTSÉGVETÉSI BEVÉTELEK</t>
  </si>
  <si>
    <t>KÖLTSÉGVETÉSI KIADÁSOK</t>
  </si>
  <si>
    <t>BEVÉTELEK MINDÖSSZESEN</t>
  </si>
  <si>
    <t>KIADÁSOK MINDÖSSZESEN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</si>
  <si>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</si>
  <si>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</si>
  <si>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</si>
  <si>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</si>
  <si>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</si>
  <si>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</si>
  <si>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</si>
  <si>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</si>
  <si>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</si>
  <si>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Intézmények megnevezése</t>
  </si>
  <si>
    <t>Alapellátás magában</t>
  </si>
  <si>
    <t>Ügyeleti Társulás</t>
  </si>
  <si>
    <t xml:space="preserve">Polgármesteri Hivatal </t>
  </si>
  <si>
    <t>ÖNKORMÁNYZAT ÖSSZESEN</t>
  </si>
  <si>
    <t>Cím</t>
  </si>
  <si>
    <t>10.</t>
  </si>
  <si>
    <t>Témák</t>
  </si>
  <si>
    <t>Városüzemeltetési és fenntartási feladatok</t>
  </si>
  <si>
    <t>Közutak üzemeltetése, fenntartása</t>
  </si>
  <si>
    <t>Települési vízellátás</t>
  </si>
  <si>
    <t>Parkok, zöldterületek fenntartása</t>
  </si>
  <si>
    <t>Erdőgazdálkodási feladatok</t>
  </si>
  <si>
    <t>Mezei őrszolgálat</t>
  </si>
  <si>
    <t>Gyepmesteri feladatok</t>
  </si>
  <si>
    <t>Egyéb városüzemeltetési feladatok</t>
  </si>
  <si>
    <t>Közvilágítási szolgáltatás</t>
  </si>
  <si>
    <t>Belvízelvezetés</t>
  </si>
  <si>
    <t>Köztisztasági szolgálat</t>
  </si>
  <si>
    <t>Településfejlesztéssel, lakásgazdálkodással és vagyongazdálkodással kapcsolatos feladatok</t>
  </si>
  <si>
    <t>Önkormányzati ingatlanokkal kapcsolatos feladatok</t>
  </si>
  <si>
    <t>Építés és településfejlesztési feladatok</t>
  </si>
  <si>
    <t>Szociális, egészségügyi feladatok</t>
  </si>
  <si>
    <t>Közcélú foglalkoztatás</t>
  </si>
  <si>
    <t>-</t>
  </si>
  <si>
    <t>Egészségügyi ellátás feladatai</t>
  </si>
  <si>
    <t>Szociális és gyermekjóléti feladatok</t>
  </si>
  <si>
    <t>Közigazgatási, Körzeti igazgatási feladatok</t>
  </si>
  <si>
    <t>Igazgatási tevékenység</t>
  </si>
  <si>
    <t xml:space="preserve"> </t>
  </si>
  <si>
    <t>Közművelődési, oktatási feladatok</t>
  </si>
  <si>
    <t>Oktatási célok és feladatok</t>
  </si>
  <si>
    <t>Városi rendezvények, ünnepségek, külkapcsolatok</t>
  </si>
  <si>
    <t>Külföldi kapcsolatok kiadásai</t>
  </si>
  <si>
    <t>Városi rendezvények</t>
  </si>
  <si>
    <t>Családi Iroda tevékenységei</t>
  </si>
  <si>
    <t>Egyéb önkormányzati feladatok</t>
  </si>
  <si>
    <t>Közbeszerzéssel és pályázatokkal kapcsolatos feladatok</t>
  </si>
  <si>
    <t>Városi kommunikációs feladatok</t>
  </si>
  <si>
    <t>ÖSSZESEN kötelező és egyéb városi feladatok</t>
  </si>
  <si>
    <t>Sorsz.</t>
  </si>
  <si>
    <t>Megnevezés</t>
  </si>
  <si>
    <t>Aktuális módosítás 
( +/-)</t>
  </si>
  <si>
    <t>I.</t>
  </si>
  <si>
    <t>MŰKÖDÉSI BEVÉTELEK</t>
  </si>
  <si>
    <t xml:space="preserve">   - Igazgatási szolgáltatások díjbevétele</t>
  </si>
  <si>
    <t xml:space="preserve">   - Bírságból származó bevétel</t>
  </si>
  <si>
    <t>Önkormányzati ingatlanok bérleti díjai</t>
  </si>
  <si>
    <t>Közterület foglalási díj</t>
  </si>
  <si>
    <t>Építményadó</t>
  </si>
  <si>
    <t>Magánszemélyek kommunális adója</t>
  </si>
  <si>
    <t>Iparűzési adó</t>
  </si>
  <si>
    <t>FINANSZÍROZÁSI BEVÉTELEK</t>
  </si>
  <si>
    <t>KMOP-3.3.3-11-2011-0110 Napelemrendszer kialakítása Nagykőrösön</t>
  </si>
  <si>
    <t>Társadalom-, szociálpolitikai és egyéb juttatás</t>
  </si>
  <si>
    <t>Normatív lakásfenntartási támogatás</t>
  </si>
  <si>
    <t>Óvodáztatási támogatás</t>
  </si>
  <si>
    <t xml:space="preserve"> ebből: Balatonakali tábor</t>
  </si>
  <si>
    <t xml:space="preserve"> ebből : Balatonakali tábor</t>
  </si>
  <si>
    <t>Kiegészítő gyermekvédelmi támogatás</t>
  </si>
  <si>
    <t>Költségvetési hiány összege (Költségvetési bevételek és költségvetési kiadások egyenlege)</t>
  </si>
  <si>
    <t>S. sz.</t>
  </si>
  <si>
    <t>Intézmény neve</t>
  </si>
  <si>
    <t>Dologi kiadások</t>
  </si>
  <si>
    <t>Kiadás összesen</t>
  </si>
  <si>
    <t>Önkormányzati támogatás</t>
  </si>
  <si>
    <t>Intézmények összesen</t>
  </si>
  <si>
    <t>S.sz.</t>
  </si>
  <si>
    <t>intézmény neve</t>
  </si>
  <si>
    <t>Finanszírozási kiadások</t>
  </si>
  <si>
    <t>Költségvetési bevételek és kiadások (hiány/többlet) egyenlege</t>
  </si>
  <si>
    <t>Előző évi pénzmaradvány, előirányzat- maradvány igénybevétele utáni bevételek</t>
  </si>
  <si>
    <t>Előző évi pénzmaradvány, előirányzat- maradvány igénybevétele utáni kiadások</t>
  </si>
  <si>
    <t xml:space="preserve"> Eredeti
előirányzat</t>
  </si>
  <si>
    <t xml:space="preserve">  ÖNKORMÁNYZAT HITELÁLLOMÁNY ÉS HITELTÖRLESZTÉS ALAKULÁSA</t>
  </si>
  <si>
    <t>2009. évben pénzügyileg teljesített</t>
  </si>
  <si>
    <t>Nem támogatott kiadások (ÁFA nélkül)</t>
  </si>
  <si>
    <t>Nem támogatott kiadások ÁFA</t>
  </si>
  <si>
    <t>Közfoglalkoztatott létszám                    (fő)</t>
  </si>
  <si>
    <t>Közigazgatási, körzeti igazgatási feladataok</t>
  </si>
  <si>
    <t xml:space="preserve">Önkormányzat  </t>
  </si>
  <si>
    <t>70 éven felüliek részére nyújtott szemétszállítási díjkompenzáció</t>
  </si>
  <si>
    <t xml:space="preserve">Előterjesztett módosítás </t>
  </si>
  <si>
    <t>Szerződés összege (Ft)</t>
  </si>
  <si>
    <t>számlák alapján</t>
  </si>
  <si>
    <t>Teljes körű központi házi ügyelet ellátása</t>
  </si>
  <si>
    <t xml:space="preserve">                                                                                                                  </t>
  </si>
  <si>
    <t>Eddig
módosított
előirányzat</t>
  </si>
  <si>
    <t>Működési célú támogatások, működési célra átadott pénzeszközök</t>
  </si>
  <si>
    <t>Oktatás</t>
  </si>
  <si>
    <t>2.1.</t>
  </si>
  <si>
    <t>Bursa Hungarica ösztöndíj</t>
  </si>
  <si>
    <t>2.2.</t>
  </si>
  <si>
    <t>2.3.</t>
  </si>
  <si>
    <t>2.4.</t>
  </si>
  <si>
    <t>Jó tanuló, jó sportoló</t>
  </si>
  <si>
    <t>Sporttámogatás</t>
  </si>
  <si>
    <t>Lakossági folyékony hulladék szállítás támogatása</t>
  </si>
  <si>
    <t>70 éven felüli lakosok szemétszállítási díjának támogatása</t>
  </si>
  <si>
    <t>Munkahelyteremtő támogatás</t>
  </si>
  <si>
    <t>II/ .</t>
  </si>
  <si>
    <t xml:space="preserve"> - Előző évi felhalmozási célú előirányzat maradvány, pénzmaradvány</t>
  </si>
  <si>
    <t>Felhalmozási célra hosszú lejáratú hitel felvétele</t>
  </si>
  <si>
    <t>Épített örökség helyi értékeinek védelmére önkormányzati támogatás</t>
  </si>
  <si>
    <t>Dolgozók lakásépítési, korszerűsítési kamatmentes kölcsöne</t>
  </si>
  <si>
    <t>Önkormányzati helyi lakásépítés kamatmentes kölcsöne</t>
  </si>
  <si>
    <t xml:space="preserve"> ÖSSZESEN</t>
  </si>
  <si>
    <t>Összesen</t>
  </si>
  <si>
    <t>MŰKÖDÉSI KIADÁSOK ÖSSZESEN:</t>
  </si>
  <si>
    <t>tőke</t>
  </si>
  <si>
    <t>kamat</t>
  </si>
  <si>
    <t>UniCredit Bank Hungary Zrt. hitel összesen</t>
  </si>
  <si>
    <t>Tőketörlesztés</t>
  </si>
  <si>
    <t>Kamat</t>
  </si>
  <si>
    <t xml:space="preserve">Ingatlanfelújítás </t>
  </si>
  <si>
    <t>Aktuális
módosítás
(+/-)</t>
  </si>
  <si>
    <t>kiadás</t>
  </si>
  <si>
    <t xml:space="preserve">Gyermekvédelmi kedvezmény </t>
  </si>
  <si>
    <t>Ellátottak pénzbeli juttatásai összesen</t>
  </si>
  <si>
    <t xml:space="preserve">ebből önkormányzati finanszírozás </t>
  </si>
  <si>
    <t xml:space="preserve">Haszonbérlet   </t>
  </si>
  <si>
    <t>Polgármesteri keret</t>
  </si>
  <si>
    <t>Szennyvízkezelés és elvezetés</t>
  </si>
  <si>
    <t>Eredeti
előirányzat</t>
  </si>
  <si>
    <t>11.</t>
  </si>
  <si>
    <t>Önkormányzati lakások  és nem lakáscélú ingatlanok felújítása</t>
  </si>
  <si>
    <t>Magyar Takarékszövetkezeti Bank Zrt. hitel összesen</t>
  </si>
  <si>
    <t>Nagykőrösi Mese-vár Óvoda</t>
  </si>
  <si>
    <t>I/.</t>
  </si>
  <si>
    <t>NAGYKŐRÖS VÁROS ÖNKORMÁNYZAT KÖLTSÉGVETÉSI MÉRLEGE</t>
  </si>
  <si>
    <t>Előirányzat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</si>
  <si>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</si>
  <si>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</si>
  <si>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</si>
  <si>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</si>
  <si>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</si>
  <si>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</si>
  <si>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</si>
  <si>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</si>
  <si>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</si>
  <si>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</si>
  <si>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</si>
  <si>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</si>
  <si>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BEVÉTELEK</t>
  </si>
  <si>
    <t>KIADÁSOK</t>
  </si>
  <si>
    <t>KÖZVETETT TÁMOGATÁSOK RÉSZLETEZÉSE</t>
  </si>
  <si>
    <t xml:space="preserve"> ezer forint   </t>
  </si>
  <si>
    <t>Sor-szám</t>
  </si>
  <si>
    <t>Költségvetési hiány külső finanszírozását szolgáló finanszírozási műveletek bevételei</t>
  </si>
  <si>
    <t>1.1</t>
  </si>
  <si>
    <t>1.2</t>
  </si>
  <si>
    <t>Alcím</t>
  </si>
  <si>
    <t>Bevételi jogcím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</si>
  <si>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</si>
  <si>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</si>
  <si>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</si>
  <si>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</si>
  <si>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</si>
  <si>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Magánszemélyek kommunális adója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</si>
  <si>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</si>
  <si>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</si>
  <si>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menteség</t>
  </si>
  <si>
    <t>Eszközök hasznosítása utáni kedvezmény, menteség</t>
  </si>
  <si>
    <t>Egyéb kedvezmény</t>
  </si>
  <si>
    <t>Egyéb kölcsön elengedése</t>
  </si>
  <si>
    <t>Sorszám</t>
  </si>
  <si>
    <t>Kulturális keret</t>
  </si>
  <si>
    <t>Bevételek összesen</t>
  </si>
  <si>
    <t>Ápolási díj méltányossági alapon</t>
  </si>
  <si>
    <t>Partner megnevezés</t>
  </si>
  <si>
    <t>Szerződés tárgya</t>
  </si>
  <si>
    <t>Szerződés érvényességének kezdete</t>
  </si>
  <si>
    <t>Szerződés érvényességének vége</t>
  </si>
  <si>
    <t>határozatlan</t>
  </si>
  <si>
    <t>Nagykőrös Város Önkormányzat</t>
  </si>
  <si>
    <t>13769. sz. fejlesztési célú forinthitelNagykőrös város szennyvíz-kezelésének fejlesztéseforintban</t>
  </si>
  <si>
    <t>13791. sz. fejlesztési célú forinthitelDéli elkerülő út építése
forintban</t>
  </si>
  <si>
    <t>OH40D020909000 sz. fejlesztési c. hitel Városközpont funkcióbővítő fejlesztése forintban</t>
  </si>
  <si>
    <t>OH40D027009000 sz. fejlesztési c. hitel Nagykőrös Város legkritikusabb területeinek csapadékvízelvezetése forintban</t>
  </si>
  <si>
    <t>Éves adósságszolgálat tőke+kamat</t>
  </si>
  <si>
    <t xml:space="preserve">  - Működéssel kapcsolatos Áfa bevételek                        </t>
  </si>
  <si>
    <t xml:space="preserve">Ivóvízminőség javító beruházás -KEOP7.1.0/11-2011-0007 </t>
  </si>
  <si>
    <t xml:space="preserve"> ebből : Parkfenntartás</t>
  </si>
  <si>
    <t>Gulyás u. útépítés</t>
  </si>
  <si>
    <t>Aktuális módosítás</t>
  </si>
  <si>
    <t>Engedélyezett létszám (fő)</t>
  </si>
  <si>
    <t>Jelenleg
módosított előirányzat</t>
  </si>
  <si>
    <t>Közcélú foglalkoztatás felhalmozási kiadásai</t>
  </si>
  <si>
    <t>1.3</t>
  </si>
  <si>
    <t>Szennyvízcsatorna és ivóvízbekötés támogatás</t>
  </si>
  <si>
    <t>KEOP-7.1.0/11-2011-0007 Nagykőrös Város Ivóvízminőség javító beruházásának megvalósítása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</si>
  <si>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</si>
  <si>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</si>
  <si>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</si>
  <si>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</si>
  <si>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</si>
  <si>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</si>
  <si>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</si>
  <si>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</si>
  <si>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</si>
  <si>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</si>
  <si>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</si>
  <si>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3</t>
  </si>
  <si>
    <t>3.1</t>
  </si>
  <si>
    <t>3.2</t>
  </si>
  <si>
    <t>3.3</t>
  </si>
  <si>
    <t>3.4</t>
  </si>
  <si>
    <t>3.5</t>
  </si>
  <si>
    <t>3.6</t>
  </si>
  <si>
    <t>Közgyógyellátási igazolvány méltányossági alapon</t>
  </si>
  <si>
    <t>Köznevelési intézmények működtetése</t>
  </si>
  <si>
    <t xml:space="preserve">ebből: Köznevelési intézmények </t>
  </si>
  <si>
    <t>Iskola Konyha</t>
  </si>
  <si>
    <t>ebből: Köznevelési Intézmények működtetése</t>
  </si>
  <si>
    <t>ebből: Iskola Konyha</t>
  </si>
  <si>
    <t>Eredeti előirányzat</t>
  </si>
  <si>
    <t>Év sportolója díj</t>
  </si>
  <si>
    <t>Egyéb városi feladatok (kitüntető cím)</t>
  </si>
  <si>
    <t>Zöldterület gazdálkodással kapcsolatos feladatellátás támogatása</t>
  </si>
  <si>
    <t>Közvilágítás fenntartásának támogatása</t>
  </si>
  <si>
    <t>Települési önkormányzatok kulturális feladatainak támogatása</t>
  </si>
  <si>
    <t>Települési önkormányzatok támogatása a nyilvános könyvtári ellátási és a közművelődési feladatokhoz</t>
  </si>
  <si>
    <t>Hozzájárulés pénzbeli szociális ellátásokhoz</t>
  </si>
  <si>
    <t>Szociális étkeztetés</t>
  </si>
  <si>
    <t>Házi segítségnyújtás</t>
  </si>
  <si>
    <t>Időskorúak nappali intézményi ellátása</t>
  </si>
  <si>
    <t>Fogyatékos személyek nappali intézményi ellátása</t>
  </si>
  <si>
    <t>Önkormányzatok működésének támogatása</t>
  </si>
  <si>
    <t>2012. évben pénzügyileg teljesített</t>
  </si>
  <si>
    <t>- Osztalékbevétel</t>
  </si>
  <si>
    <t>Nagykőrösi Polgármesteri Hivatal</t>
  </si>
  <si>
    <t>Engedélyezett létszám (fő)  január 1.</t>
  </si>
  <si>
    <t>3. NAGYKŐRÖSI POLGÁRMESTERI HIVATAL BEVÉTELEI</t>
  </si>
  <si>
    <t>Állami feladatok</t>
  </si>
  <si>
    <t>Munkaadókat terhelő járulékok és szociális hozzájárulási adó</t>
  </si>
  <si>
    <t>2. NAGYKŐRÖS VÁROS ÖNKORMÁNYZAT BEVÉTELEI</t>
  </si>
  <si>
    <t>Kötelező feladatok</t>
  </si>
  <si>
    <t>Önként vállalt feladatok</t>
  </si>
  <si>
    <t>S-10-589</t>
  </si>
  <si>
    <t>S-13-6</t>
  </si>
  <si>
    <t>Dr. Papp Katalin Ügyvédi Iroda</t>
  </si>
  <si>
    <t>Teljes körű jogi képviselet</t>
  </si>
  <si>
    <t>S-11-435</t>
  </si>
  <si>
    <t>International Ambulance Services  Egészségügyi és szolgáltató Kft.</t>
  </si>
  <si>
    <t>S-12-31</t>
  </si>
  <si>
    <t>Közszolgáltatási szerződés a települési folyékony hulladékkal kapcsolatos kötelező helyi közszolgátatás ellátására</t>
  </si>
  <si>
    <t>Számlák alapján</t>
  </si>
  <si>
    <t>Tánczos Tibor</t>
  </si>
  <si>
    <t>Webmesteri teendők ellátása</t>
  </si>
  <si>
    <t>Kötelező feladat</t>
  </si>
  <si>
    <t>Önként vállalt feladat</t>
  </si>
  <si>
    <t>Heliy adók</t>
  </si>
  <si>
    <t>Osztalék, koncessziós díjak</t>
  </si>
  <si>
    <t>Díjak, pótlékok, bírságok</t>
  </si>
  <si>
    <t>Tárgyi eszközök, immateriális javak, vagyoni értékű jog értékesítése, vagyonhasznosításból származó bevétel</t>
  </si>
  <si>
    <t>Részvények, részesedések értékesítése</t>
  </si>
  <si>
    <t>Vállalat értékesítésből, privatizációból származó bevétel</t>
  </si>
  <si>
    <t>Kezességvállalással kapcsolatos megtérülés</t>
  </si>
  <si>
    <t>Tárgyév</t>
  </si>
  <si>
    <t>2015.</t>
  </si>
  <si>
    <t>2016.</t>
  </si>
  <si>
    <t>2017.</t>
  </si>
  <si>
    <t>2018.</t>
  </si>
  <si>
    <t>2019.</t>
  </si>
  <si>
    <t>2020.</t>
  </si>
  <si>
    <t>2021.</t>
  </si>
  <si>
    <t>Saját bevételek</t>
  </si>
  <si>
    <t>Az Önkormányzat saját bevételeinek részletezése az adósságot keletkeztető ügyletből származó tárgyévi fizetési kötelezettség megállapításához</t>
  </si>
  <si>
    <t>Az Önkormányzat adósságot keletkeztető ügyleteiből és kezességvállalásaiból fennálló kötelezettségei az adósságot keletkező ügyletek futamidejének végéig</t>
  </si>
  <si>
    <t>Előző években keletkezett tárgyévi fizetési kötelezettség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</si>
  <si>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</si>
  <si>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</si>
  <si>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</si>
  <si>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</si>
  <si>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</si>
  <si>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</si>
  <si>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 vállalásból eredő fizetési kötelezettség</t>
  </si>
  <si>
    <t>Tárgyévben keletkezett, illetve keletkező, tárgyévet terhelő fizetési kötelezettség</t>
  </si>
  <si>
    <t>Fizetési kötelezettség összesen</t>
  </si>
  <si>
    <t>ÖNKORMÁNYZAT ADÓSSÁGOT KELETKEZTETŐ ÜGYLETEIBŐL EREDŐ FIZETÉSI KÖTELEZETTSÉGEINEK BEMUATÁSA</t>
  </si>
  <si>
    <t>Önkormányzati tűzoltóság támogatása</t>
  </si>
  <si>
    <t xml:space="preserve"> ezer forint</t>
  </si>
  <si>
    <t>Állomány 2014.január1.</t>
  </si>
  <si>
    <t>13935. sz. kölcsönszerződés forgóeszközfinanszírozására</t>
  </si>
  <si>
    <t>13895. sz. fejlesztési célú forinthitel a 11810 és 0666 hrszú Fűzfás út építésére</t>
  </si>
  <si>
    <t>Képviselő-testület, bizottságok, politikai tanácsadó, polgármesteri kabinet</t>
  </si>
  <si>
    <t xml:space="preserve">Szabadság tér 4. épület </t>
  </si>
  <si>
    <t>Irodabútorok beszerzése Polgármesteri Hivatal 
működéséhez</t>
  </si>
  <si>
    <t>BERUHÁZÁSOK</t>
  </si>
  <si>
    <t>Beruházások összesen</t>
  </si>
  <si>
    <t>Felújítások összesen</t>
  </si>
  <si>
    <t>3. POLGÁRMESTERI HIVATAL</t>
  </si>
  <si>
    <t>Egyéb működési célú kiadások</t>
  </si>
  <si>
    <t>Működési költségvetés</t>
  </si>
  <si>
    <t>Beruházások</t>
  </si>
  <si>
    <t>Egyéb felhalmozási célú kiadások</t>
  </si>
  <si>
    <t>Felhalmozási költségvetés</t>
  </si>
  <si>
    <t>Működési célú támogatások államháztartáson belül</t>
  </si>
  <si>
    <t>Felhalmozási célú támogatások államháztart. belül</t>
  </si>
  <si>
    <t>091</t>
  </si>
  <si>
    <t>092</t>
  </si>
  <si>
    <t>093</t>
  </si>
  <si>
    <t>094</t>
  </si>
  <si>
    <t>095</t>
  </si>
  <si>
    <t>096</t>
  </si>
  <si>
    <t>097</t>
  </si>
  <si>
    <t>098</t>
  </si>
  <si>
    <t>Közhatalmi bevételek</t>
  </si>
  <si>
    <t>Felhalmozási bevételek</t>
  </si>
  <si>
    <t>Működési célú átvett pénzeszközök</t>
  </si>
  <si>
    <t>Felhalmozási célú átvett pénzeszközök</t>
  </si>
  <si>
    <t>Finanszírozási bevételek</t>
  </si>
  <si>
    <t>KÖZHATALMI BEVÉTELEK</t>
  </si>
  <si>
    <t>FELHALMOZÁSI  BEVÉTELEK</t>
  </si>
  <si>
    <t>MŰKÖDÉSI CÉLÚ ÁTVETT PÉNZESZKÖZÖK</t>
  </si>
  <si>
    <t>FELHALMOZÁSI CÉLÚ ÁTVETT PÉNZESZKÖZÖK</t>
  </si>
  <si>
    <t>0911</t>
  </si>
  <si>
    <t>09111</t>
  </si>
  <si>
    <t>Helyi önkormányzatok működésének általános támogatása</t>
  </si>
  <si>
    <t>09402</t>
  </si>
  <si>
    <t>Szolgáltatások ellenértéke</t>
  </si>
  <si>
    <t>Közvetített szolgáltatások ellenértéke</t>
  </si>
  <si>
    <t>09403</t>
  </si>
  <si>
    <t>09404</t>
  </si>
  <si>
    <t>Tulajdonosi bevételek</t>
  </si>
  <si>
    <t>Kiszámlázott általános forgalmi adó</t>
  </si>
  <si>
    <t>09406</t>
  </si>
  <si>
    <t>09407</t>
  </si>
  <si>
    <t>Általános forgalmi adó visszatérítése</t>
  </si>
  <si>
    <t>09408</t>
  </si>
  <si>
    <t>Kamatbevételek</t>
  </si>
  <si>
    <t>09409</t>
  </si>
  <si>
    <t>Egyéb pénzügyi műveletek bevételei</t>
  </si>
  <si>
    <t>09410</t>
  </si>
  <si>
    <t>Egyéb működési bevételek</t>
  </si>
  <si>
    <t>0934</t>
  </si>
  <si>
    <t>Vagyoni típusú adók</t>
  </si>
  <si>
    <t>0936</t>
  </si>
  <si>
    <t>Egyéb közhatalmi bevétel</t>
  </si>
  <si>
    <t>Helyszíni-, közigazgatási- és szabálysértési bírság</t>
  </si>
  <si>
    <t>09354</t>
  </si>
  <si>
    <t>09355</t>
  </si>
  <si>
    <t>Talajterhelési díj</t>
  </si>
  <si>
    <t>Gépjárműadók</t>
  </si>
  <si>
    <t>09351</t>
  </si>
  <si>
    <t>0935</t>
  </si>
  <si>
    <t>Termékek és szolgáltatások adói</t>
  </si>
  <si>
    <t>Ingatlanok értékesítése</t>
  </si>
  <si>
    <t>0951</t>
  </si>
  <si>
    <t>0953</t>
  </si>
  <si>
    <t>Egyéb tárgyi eszköz értékesítése</t>
  </si>
  <si>
    <t>0954</t>
  </si>
  <si>
    <t>Részesedések értékesítése</t>
  </si>
  <si>
    <t>09112</t>
  </si>
  <si>
    <t>09113</t>
  </si>
  <si>
    <t>09114</t>
  </si>
  <si>
    <t>09115</t>
  </si>
  <si>
    <t>Működési célú központosított előirányzatok</t>
  </si>
  <si>
    <t>0916</t>
  </si>
  <si>
    <t>Egyéb  működési célú, támogatások bevételei államháztartáson belülről</t>
  </si>
  <si>
    <t>0921</t>
  </si>
  <si>
    <t>Felhalmozási célú önkormányzati támogatások</t>
  </si>
  <si>
    <t>0925</t>
  </si>
  <si>
    <t>0963</t>
  </si>
  <si>
    <t>Egyéb működési célú átvett pénzeszköz</t>
  </si>
  <si>
    <t>0972</t>
  </si>
  <si>
    <t>Felhalmozási célú visszatérítendő támogatások kölcsönök visszatérülése államháztartáson kívülről</t>
  </si>
  <si>
    <t>09812</t>
  </si>
  <si>
    <t>Belföldi értékpapírok bevételei</t>
  </si>
  <si>
    <t>09811</t>
  </si>
  <si>
    <t>Hitel-, kölcsönfelvétel államháztartáson kívülről</t>
  </si>
  <si>
    <t>09813</t>
  </si>
  <si>
    <t>Maradvány igénybevétele</t>
  </si>
  <si>
    <t>09816</t>
  </si>
  <si>
    <t>Központi, irányítószervi támogatás</t>
  </si>
  <si>
    <t>Egyéb közhatalmi bevételek</t>
  </si>
  <si>
    <t>3. POLGÁRMESTERI HIVATAL  KÖLTSÉGVETÉSI KIADÁSAI</t>
  </si>
  <si>
    <t xml:space="preserve"> ÖNKORMÁNYZAT ÁLTAL NYÚJTOTT MŰKÖDÉSI ÉS FELHALMOZÁSI CÉLÚ TÁMOGATÁSOK  </t>
  </si>
  <si>
    <t xml:space="preserve">ebből  nph finanszírozás </t>
  </si>
  <si>
    <t>Nagykőrösi Szolgáltató Központ</t>
  </si>
  <si>
    <t>Nagykőrösi  Szolgáltató Központ</t>
  </si>
  <si>
    <t>1.NAGYKŐRÖSI SZOLGÁLTATÓ KÖZPONT KIADÁSAI</t>
  </si>
  <si>
    <t>2. NAGYKŐRÖS VÁROS ÖNKORMÁNYZAT</t>
  </si>
  <si>
    <t>FELÚJÍTÁSOK</t>
  </si>
  <si>
    <t>2.NAGYKŐRÖS VÁROS ÖNKORMÁNYZAT  KIADÁSAI</t>
  </si>
  <si>
    <t>ÖSSZESEN</t>
  </si>
  <si>
    <t>Hulladékszállítási kedvezmény</t>
  </si>
  <si>
    <t>Önkormányzati segély</t>
  </si>
  <si>
    <t xml:space="preserve">Köztemetés </t>
  </si>
  <si>
    <t>Rendkívüli átmeneti segély</t>
  </si>
  <si>
    <t>Gyermekétkeztetés támogatása</t>
  </si>
  <si>
    <t>Nyugdíjas Szövetség bérleti díj támogatása</t>
  </si>
  <si>
    <t>Arany János Kulturális Központ helységeinek igénybevevő szervezetek támogatása</t>
  </si>
  <si>
    <t>Kézmű Kft. Bérleti díj támogatása</t>
  </si>
  <si>
    <t>Általános és középiskolai ösztöndíja, tehetséggondozás</t>
  </si>
  <si>
    <t>Lakosság közműfejlesztési támogatása</t>
  </si>
  <si>
    <t>- Temetőhegy úépítése lakossági hozzájárulás</t>
  </si>
  <si>
    <t>- Gulyás utca útépítése lakossági hozzájárulás</t>
  </si>
  <si>
    <t>Országzászló állítása</t>
  </si>
  <si>
    <t>2014.évi terv</t>
  </si>
  <si>
    <t>2013. évben pénzügyileg teljesített</t>
  </si>
  <si>
    <t>Módosított előirányzat …………….. rendelet</t>
  </si>
  <si>
    <t>Belföldi értékpapirok bevételei</t>
  </si>
  <si>
    <t>Hitel-, kölcsöntörlesztés államháztartáson kívülre</t>
  </si>
  <si>
    <t xml:space="preserve">Belföldi értékpapírok kiadásai </t>
  </si>
  <si>
    <t>Ingatlanvásárlás</t>
  </si>
  <si>
    <t>Ingatlanvásárlás előzetesen felszámított általános forgalmi adó</t>
  </si>
  <si>
    <t>Összesen      ezer Ft</t>
  </si>
  <si>
    <t>Egyéb működési célú kiadás</t>
  </si>
  <si>
    <t>Nagykőrösi Bóbita Óvoda</t>
  </si>
  <si>
    <t>Nagykőrösi Kalocsa Balázs Óvoda</t>
  </si>
  <si>
    <t>Nagykőrösi Hétszínvirág Óvoda</t>
  </si>
  <si>
    <t>Nagykőrösi Humánszolgáltató Központ</t>
  </si>
  <si>
    <t>Nagykőrösi Arany János Kulturális Központ</t>
  </si>
  <si>
    <t>2012. évi tényadatok</t>
  </si>
  <si>
    <t>Nem közművel összegyűjtött ht. Szennyvíz ártalmatlanítása</t>
  </si>
  <si>
    <t>Szociális gyermekjóléti alapszolgáltatások általános feladatai</t>
  </si>
  <si>
    <t>Gyermekek napközbeni ellátása</t>
  </si>
  <si>
    <t xml:space="preserve">A finanszírozás szempontjából elismert szakmai dolgozók bértámogatása </t>
  </si>
  <si>
    <t xml:space="preserve">Intézmény-üzemeltetési támogatás </t>
  </si>
  <si>
    <t>Települési önkormányzatok szociális és gyermekjóléti és gyermekétkeztetési feladatainak támogatása</t>
  </si>
  <si>
    <t>Lakott külterülettel kapcsolatos feladatok támogatása</t>
  </si>
  <si>
    <t>Egyes jövedelempótló támogatások visszaigénylése</t>
  </si>
  <si>
    <t>Önkormányzati lakások  és nem lakáscélú ingatlanok felújítása ÁFA</t>
  </si>
  <si>
    <t>2014.</t>
  </si>
  <si>
    <t>Auguszt.</t>
  </si>
  <si>
    <t>Szept.</t>
  </si>
  <si>
    <t>Okt.</t>
  </si>
  <si>
    <t>Nov.</t>
  </si>
  <si>
    <t>Dec.</t>
  </si>
  <si>
    <t>Összesen:</t>
  </si>
  <si>
    <t>Nyitó pénzkészlet</t>
  </si>
  <si>
    <t>-----</t>
  </si>
  <si>
    <t>Bevételek összesen:</t>
  </si>
  <si>
    <t>Egyéb felhalmozási kiadások</t>
  </si>
  <si>
    <t>Kiadások összesen:</t>
  </si>
  <si>
    <t>Egyenleg (11-21)</t>
  </si>
  <si>
    <t xml:space="preserve">  Önkormányzat likviditási terve
2014. évre</t>
  </si>
  <si>
    <t>ezer Ft</t>
  </si>
  <si>
    <t>ÁROP-3.A.2-2013-2013-0035  Szervezetfejlesztés Nagykőrös Város Önkormányzatánál</t>
  </si>
  <si>
    <t>2013. évi tény</t>
  </si>
  <si>
    <t>KEOP-7.1.0/11-2011-0007 Nagykőrös Város Ivóvízminőség javító beruházása előkészítő szakasz</t>
  </si>
  <si>
    <t>KEOP-1.3.0/09-11-2013-00 Nagykőrös Város Ivóvízminőség javító beruházás megvalósítása</t>
  </si>
  <si>
    <t>2015.évi terv</t>
  </si>
  <si>
    <t>KMOP-3.3.3/13-2013-0035  Nagykőrösi Polgármesteri Hivatal intézményére napelemes rendszer telepítése</t>
  </si>
  <si>
    <t>A pálfájai oktatóközpont üzemeltetése (LIFE Nature)</t>
  </si>
  <si>
    <t>KEOP-7.1.0/11-2011-0007 Nagykőrös Város Ivóvízminőség javító beruházása BM EU Önerő Alap támogatás</t>
  </si>
  <si>
    <t>Települési önkormányzatok muzeális intézményi feladatainak támogatása</t>
  </si>
  <si>
    <t>Önkormányzat által nyújtott támogatás helyiségek bérleti díjának átvállalásával</t>
  </si>
  <si>
    <t xml:space="preserve">1. NAGYKŐRÖSI SZOLGÁLTATÓ KÖZPONT BEVÉTELEI </t>
  </si>
  <si>
    <t>A települési önkormányzatok egyes köznevelési és gyermekétkeztetési feladatainak támogatása</t>
  </si>
  <si>
    <t>Önkormányzati hivatal működésének támogatása</t>
  </si>
  <si>
    <t>Közutak fenntartásának támogatása</t>
  </si>
  <si>
    <t>Egyéb kötelező önkormányzati feladatok</t>
  </si>
  <si>
    <t>Óvodapedagógusok, és az óvodapedagógusok nevelő munkáját közvetlenül segítők bértámogatása</t>
  </si>
  <si>
    <t>Óvodaműködtetési támogatás</t>
  </si>
  <si>
    <t>Köznevelési intézmények kiegészítő támogatása</t>
  </si>
  <si>
    <t>MŰKÖDÉSI CÉLÚ TÁMOGATÁSOK ÁLLAMHÁZTATÁSON BELÜLRŐL</t>
  </si>
  <si>
    <t>- Előző évi működési célú előirányzat maradvány, pénzmaradvány</t>
  </si>
  <si>
    <t>- Előző évi felhalmozási célú előirányzat maradvány, pénzmaradvány</t>
  </si>
  <si>
    <t>- Dolgozók lakásépítésének és vásárlásának támogatása</t>
  </si>
  <si>
    <t>- Önkormányzati helyi lakásépítés és vásárlás támogatása</t>
  </si>
  <si>
    <t>- Temetőhegyi beruházásokhoz nyújtott kölcsönök visszatérülése</t>
  </si>
  <si>
    <t>- Polgárrá fogadás</t>
  </si>
  <si>
    <t xml:space="preserve"> - Járművek értékesítése</t>
  </si>
  <si>
    <t xml:space="preserve"> - Gépek berendezések értékesítése</t>
  </si>
  <si>
    <t xml:space="preserve"> - Önkormányzati egyéb helyiségek értékesítése</t>
  </si>
  <si>
    <t xml:space="preserve"> - Önkormányzati lakások értékesítése</t>
  </si>
  <si>
    <t xml:space="preserve"> - Épület, építmény értékesítés telekhányaddal</t>
  </si>
  <si>
    <t xml:space="preserve"> - Telek értékesítés</t>
  </si>
  <si>
    <t xml:space="preserve"> - Működéssel kapcsolatos ÁFA bevételek                        </t>
  </si>
  <si>
    <t xml:space="preserve"> - Felhalmozással kapcsolatos ÁFA bevételek</t>
  </si>
  <si>
    <t>Kiszámlázott ÁFA</t>
  </si>
  <si>
    <t>Önkormányzati egyéb helyiségek bérbeadásából származó jövedelem</t>
  </si>
  <si>
    <t>Önkormányzati lakások lakbérbevétele</t>
  </si>
  <si>
    <t>Piac, vásár használati díja</t>
  </si>
  <si>
    <t>Víziközmű használati díja ( szennyvíz)</t>
  </si>
  <si>
    <t>Víziközmű használati díja ( ivóvíz)</t>
  </si>
  <si>
    <t xml:space="preserve">Adóbevételekhez bevételekhez kapcsolódó pótlékok, bírságok </t>
  </si>
  <si>
    <t>- Lakossági közműfejlesztési támogatás</t>
  </si>
  <si>
    <t>- Települési és területi kisebbségi önkormányzatok támogatása</t>
  </si>
  <si>
    <t>- Szociális foglalkoztatás finanszírozása</t>
  </si>
  <si>
    <t>- Mezei őrszolgálat támogatása</t>
  </si>
  <si>
    <t>- Orvosi ügyelet ellátása (Kocsér, Nyársapát),fogorvosi praxis 
   helyettesítésének támogatása</t>
  </si>
  <si>
    <t>- Jelzőrendszeres házi segítségnyújtás</t>
  </si>
  <si>
    <t>- Támogató szolgáltatás finanszírozása  TSZ-226/0-2008</t>
  </si>
  <si>
    <t>1. NAGYKŐRÖSI SZOLGÁLTATÓ KÖZPONT</t>
  </si>
  <si>
    <t>Kezességvállalás a Nagykőrösi Víziközmű Társulat hiteléhez 
(aktuális tőke és kamat fizetés)</t>
  </si>
  <si>
    <t>Helyi adók</t>
  </si>
  <si>
    <t>Tárgyévben keletkezett, illetve keletkező, 
tárgyévet terhelő fizetési kötelezettség</t>
  </si>
  <si>
    <t xml:space="preserve">   ÖNKORMÁNYZAT ÁLTAL FOLYÓSÍTOTT ELLÁTOTTAK PÉNZBELI JUTTATÁSAI</t>
  </si>
  <si>
    <t xml:space="preserve"> NAGYKŐRÖSI POLGÁRMESTERI HIVATAL ÁLTAL FOLYÓSÍTOTT ELLÁTOTTAK PÉNZBELI JUTTATÁSAI </t>
  </si>
  <si>
    <t>2013. évi 
várható tényadatok</t>
  </si>
  <si>
    <t>ELŐIRÁNYZAT FELHASZNÁLÁSI ÜTEMTERV</t>
  </si>
  <si>
    <t>337.500 Ft/év+áfa</t>
  </si>
  <si>
    <t>525.000 Ft/negyedév+áfa</t>
  </si>
  <si>
    <t>300.000 Ft</t>
  </si>
  <si>
    <t xml:space="preserve">-ebből:        Építményadó </t>
  </si>
  <si>
    <t>- Közfoglalkoztatás támogatása</t>
  </si>
  <si>
    <t>Közfoglalkoztatás</t>
  </si>
  <si>
    <t>0973</t>
  </si>
  <si>
    <t>Egyéb felhalmozási célú átvett pénzeszközök</t>
  </si>
  <si>
    <t>Több éves kihatással járó kötelezettségvállalások - Nagykőrös Város Önkormányzat</t>
  </si>
  <si>
    <t>Szerződés azonosító</t>
  </si>
  <si>
    <t>Erdőtelepítési és ápolási munkák elvégzése</t>
  </si>
  <si>
    <t>553.500 Ft+áfa</t>
  </si>
  <si>
    <t>S-11-316</t>
  </si>
  <si>
    <t>Köva-Kom Nonprofit Zrt.</t>
  </si>
  <si>
    <t>Önkormányzati tulajdonban lévő lakás és nem lakás célú ingatlanok kezelése</t>
  </si>
  <si>
    <t>389 000 Ft/hó</t>
  </si>
  <si>
    <t>S-12-112</t>
  </si>
  <si>
    <t>23.955Ft/hó</t>
  </si>
  <si>
    <t>S-12-128</t>
  </si>
  <si>
    <t>Üzemeltetési szerződés a Csónakázó tó és környezetére</t>
  </si>
  <si>
    <t>2.008.000 Ft/év+áfa</t>
  </si>
  <si>
    <t>S-13-15</t>
  </si>
  <si>
    <t>Köztisztasági szerződés</t>
  </si>
  <si>
    <t>29.509.119 Ft+áfa</t>
  </si>
  <si>
    <t>S-13-30</t>
  </si>
  <si>
    <t>Profix Computer Kft.</t>
  </si>
  <si>
    <t>Profix-Prodoki Plus szoftverkövetési szerződés</t>
  </si>
  <si>
    <t>110.236 Ft/félév+áfa</t>
  </si>
  <si>
    <t>S-13-41</t>
  </si>
  <si>
    <t>Nyugdíjasok Szövetsége</t>
  </si>
  <si>
    <t>Nagykőrös, Dalmady utca 3. sz. alatti ingatlan helyiségei bérleti díjának részbeni átvállalása</t>
  </si>
  <si>
    <t>52.796 Ft/hó</t>
  </si>
  <si>
    <t>S-13-42</t>
  </si>
  <si>
    <t>Kézmű Fővárosi Kézműipari Nonprofit Kézműipari Nonprofit Kft.</t>
  </si>
  <si>
    <t>Nagykőrös, Kossuth Lajos út 2. sz. alatti ingatlan helyiségei bérleti díjának részbeni átvállalása</t>
  </si>
  <si>
    <t>246.380Ft/hó</t>
  </si>
  <si>
    <t>S-13-43</t>
  </si>
  <si>
    <t>Kül- és belterületi földutak rendezése</t>
  </si>
  <si>
    <t>megrendelők alapján</t>
  </si>
  <si>
    <t>S-13-76</t>
  </si>
  <si>
    <t>Stamperoil Kft.</t>
  </si>
  <si>
    <t>S-13-99</t>
  </si>
  <si>
    <t>Magyar Vöröskereszt Pest Megyei Szervezete</t>
  </si>
  <si>
    <t>Szociális feladatok  elvégzése</t>
  </si>
  <si>
    <t>S-13-126</t>
  </si>
  <si>
    <t>Parlagfű és allargén gyom elleni védekezési munkák</t>
  </si>
  <si>
    <t>S-13-129</t>
  </si>
  <si>
    <t>Növényvédő és Kártevő Kft.</t>
  </si>
  <si>
    <t>Rágcsálómentesítési feladatok elvégzése</t>
  </si>
  <si>
    <t>S-13-138</t>
  </si>
  <si>
    <t>ÁÜTŐ Kft.</t>
  </si>
  <si>
    <t>KEOP-1.3.0/09-11-2013-22</t>
  </si>
  <si>
    <t>14.490.000 Ft+áfa</t>
  </si>
  <si>
    <t>S-13-139</t>
  </si>
  <si>
    <t>Strategic Scope Kommunikációs Ügynökség Kft.</t>
  </si>
  <si>
    <t>2.896.400 Ft+áfa</t>
  </si>
  <si>
    <t>S-13-152</t>
  </si>
  <si>
    <t>Datakart Mérnöki Tanácsadó, Szolgáltató és Kereskedelmi Kft.</t>
  </si>
  <si>
    <t>Térinformatikai alaprendszer</t>
  </si>
  <si>
    <t>S-13-153</t>
  </si>
  <si>
    <t>Nagykőrös belterület digitális földmérési alaptérkép</t>
  </si>
  <si>
    <t>252.441 Ft/év+áfa</t>
  </si>
  <si>
    <t>S-13-154</t>
  </si>
  <si>
    <t>Ügyfél- és terméktámogatás</t>
  </si>
  <si>
    <t>S-13-184</t>
  </si>
  <si>
    <t>Unicredit Bank Hungary Zrt.</t>
  </si>
  <si>
    <t>Feljesztési hitelszerződés Fűzfás út burkolatának építése projekt finanszírozása</t>
  </si>
  <si>
    <t>83.173.809 Ft + kamat</t>
  </si>
  <si>
    <t>S-13-208</t>
  </si>
  <si>
    <t>Csoki Patika Kft.</t>
  </si>
  <si>
    <t>Több éves kihatással járó kötelezettségvállalások - Nagykőrösi Polgármesteri Hivatal</t>
  </si>
  <si>
    <t>2014. évi kötelezettségvállalás bruttó összege (Ft)</t>
  </si>
  <si>
    <t>S-13-73</t>
  </si>
  <si>
    <t>Abacus  Számítástechnikai Kft.</t>
  </si>
  <si>
    <t>Általánydíjas szerződés a WinSzoc (Szociális Támogatások rendszere) szoftverkövetésére</t>
  </si>
  <si>
    <t>39.200 Ft/negyedév+áfa</t>
  </si>
  <si>
    <t>S-13-133</t>
  </si>
  <si>
    <t>Aegon Magyarország Zrt.</t>
  </si>
  <si>
    <t>Csoportos biztosítási kötvény</t>
  </si>
  <si>
    <t>158.500 Ft/év</t>
  </si>
  <si>
    <t>158.500 Ft</t>
  </si>
  <si>
    <t>S-13-109</t>
  </si>
  <si>
    <t>Allianz Hungária Biztosító Zrt.</t>
  </si>
  <si>
    <t>LIK-629 Casco biztosítás</t>
  </si>
  <si>
    <t>52.200 Ft/év</t>
  </si>
  <si>
    <t>S-13-110</t>
  </si>
  <si>
    <t>LIK-629 Kötelező gépjármű-felelősségi biztosítás</t>
  </si>
  <si>
    <t>34.476 Ft/év</t>
  </si>
  <si>
    <t>S-13-151</t>
  </si>
  <si>
    <t>LXB-537 Kötelező gépjármű-felelősségbiztosítás</t>
  </si>
  <si>
    <t>27.768 Ft/év</t>
  </si>
  <si>
    <t>S-09-282</t>
  </si>
  <si>
    <t>Allianz Hungária Zrt.</t>
  </si>
  <si>
    <t>LJT-251 Casco biztosítás</t>
  </si>
  <si>
    <t>2014. 04.01-től éves díj: 77.388 Ft</t>
  </si>
  <si>
    <t>S-13-147</t>
  </si>
  <si>
    <t>Bácsvíz Zrt. (Kőrösi Vagyonkezelő Zrt.)</t>
  </si>
  <si>
    <t>Szolgáltatási szerződés gazdálkodó szervezet részére végzett szennyvízelvezetés és ivóvíz szolgáltatásra (Szabadság tér 4.)</t>
  </si>
  <si>
    <t>S-14-13</t>
  </si>
  <si>
    <t>Szolgáltatási szerződés gazdálkodó szervezet részére végzett szennyvízelvezetés és ivóvíz szolgáltatásra (Szabadság tér 5.)</t>
  </si>
  <si>
    <t>S-13-74</t>
  </si>
  <si>
    <t>Civilsoft-it Informatikai Kft.</t>
  </si>
  <si>
    <t>Szerződés Civil Üzlet v8.x (Kereskedelmi tevékenységek) programrendszer naprakészen tartása</t>
  </si>
  <si>
    <t>34.797 Ft/év+áfa</t>
  </si>
  <si>
    <t>S-13-101</t>
  </si>
  <si>
    <t>Complex Kiadó Kft.</t>
  </si>
  <si>
    <t>CompLex céginfo előfizetés</t>
  </si>
  <si>
    <t>121.360 Ft/év+áfa</t>
  </si>
  <si>
    <t>S-13-112</t>
  </si>
  <si>
    <t>Önkormányzati Jogtár Plusz</t>
  </si>
  <si>
    <t>520.044 Ft+áfa</t>
  </si>
  <si>
    <t>S-13-47</t>
  </si>
  <si>
    <t>Design Termelő, Szolgáltató, Kereskedelmi Kft.</t>
  </si>
  <si>
    <t>Veszélyes hulladékok kezelése</t>
  </si>
  <si>
    <t>S-13-4</t>
  </si>
  <si>
    <t>Teljeskörű jogi képviselet</t>
  </si>
  <si>
    <t>100.000Ft/negyedév+áfa</t>
  </si>
  <si>
    <t>S-11-287</t>
  </si>
  <si>
    <t>eKözig Regionális Informatikai Szolgáltató Központ Zrt.</t>
  </si>
  <si>
    <t>Önkormányzati alapnyilvántartásokat támogató helyi nyilvántartó rendszer felhasználói jogának biztosítása</t>
  </si>
  <si>
    <t>174.720 Ft+áfa</t>
  </si>
  <si>
    <t>S-13-104</t>
  </si>
  <si>
    <t>E-Szoftverfejlesztő Kft.</t>
  </si>
  <si>
    <t>Rendszerkövetési szolgáltatás</t>
  </si>
  <si>
    <t>81.900 Ft/év+áfa</t>
  </si>
  <si>
    <t>S-13-72</t>
  </si>
  <si>
    <t>F.F Fémfeldolgozó Kereskedelmi és Szolgáltató Kft.</t>
  </si>
  <si>
    <t>Kartontárolók, MOBIL ORG szekrények rendszeres karbantartása</t>
  </si>
  <si>
    <t>First Step Bt.</t>
  </si>
  <si>
    <t>FIRSTEP WEB-Tárhely Szolgáltatási Szerzőzés</t>
  </si>
  <si>
    <t>12.760 Ft+áfa</t>
  </si>
  <si>
    <t>Gdf Suez Energia Magyarország Zrt.</t>
  </si>
  <si>
    <t>Teljes ellátás alapú földgáz energia</t>
  </si>
  <si>
    <t>S-13-111</t>
  </si>
  <si>
    <t>Generali-Providencia Biztosító Rt.</t>
  </si>
  <si>
    <t>Általános vagyonbiztosítási szerződés</t>
  </si>
  <si>
    <t>499.555 Ft/negyedév</t>
  </si>
  <si>
    <t>S-13-78</t>
  </si>
  <si>
    <t>Globomax Elektronikai Kft.</t>
  </si>
  <si>
    <t>Mikrovoks szavazatszámláló, konferencia és hangosító rendzser 1 db számjegyes kijelző táblával javítása és karbantartása</t>
  </si>
  <si>
    <t>64.797 Ft/negyedév+áfa</t>
  </si>
  <si>
    <t>S-12-168</t>
  </si>
  <si>
    <t>GreenDoc Systems Kft.</t>
  </si>
  <si>
    <t>WinPA Postázó szoftver támogatása és nyomonkövetése</t>
  </si>
  <si>
    <t>61.200 Ft/év+áfa</t>
  </si>
  <si>
    <t>S-13-161</t>
  </si>
  <si>
    <t>Hungaro-Force&amp; Monitoring Kft.</t>
  </si>
  <si>
    <t>Nagykőrösi Polgármesteri Hivatal vagyonvédelmi rendszerének távfelügyelete (Szabadság tér 4. és 5.)</t>
  </si>
  <si>
    <t>6.000 Ft/hó+áfa</t>
  </si>
  <si>
    <t>S-13-107</t>
  </si>
  <si>
    <t>K&amp;H Biztosító Zrt.</t>
  </si>
  <si>
    <t>LJT-251 kötelező gépjármű-felelősségi biztosítás</t>
  </si>
  <si>
    <t>6.778 Ft/negyedév</t>
  </si>
  <si>
    <t>S-12-80</t>
  </si>
  <si>
    <t>Korend Rendszerház Kft.</t>
  </si>
  <si>
    <t>GORDIUS Általánydíjas Üzemeltetési Nyomkövetési szerződés</t>
  </si>
  <si>
    <t>86.900Ft/hó+áfa</t>
  </si>
  <si>
    <t>S-13-79</t>
  </si>
  <si>
    <t>Hulladékszállítási szerződés (Szabadság tér 4. és 5.)</t>
  </si>
  <si>
    <t>11.682 Ft/hó+áfa</t>
  </si>
  <si>
    <t>S-11-56</t>
  </si>
  <si>
    <t>MAGÓ Software Zrt.</t>
  </si>
  <si>
    <t>WIKT 7.1 Ügyiratkezelő (iktató) rendszer karbantartása</t>
  </si>
  <si>
    <t>48.000 Ft/negyedév+áfa</t>
  </si>
  <si>
    <t>S-13-67</t>
  </si>
  <si>
    <t>Magyar Posta Zrt.</t>
  </si>
  <si>
    <t>Díjhitelről, elektronikus feladójegyzékről</t>
  </si>
  <si>
    <t>S-12-184</t>
  </si>
  <si>
    <t>Magyar Telekom Nyrt.</t>
  </si>
  <si>
    <t>Előfizetői szerződés Telefonvonal nélküli BDSL 15M-szolgáltatás igénybevételére</t>
  </si>
  <si>
    <t>13.900 Ft/hó+áfa</t>
  </si>
  <si>
    <t>S-13-98</t>
  </si>
  <si>
    <t>Telefon központban SIM kártyák előfiz. és forgalom</t>
  </si>
  <si>
    <t xml:space="preserve">  2004.11.19</t>
  </si>
  <si>
    <t>S-13--102</t>
  </si>
  <si>
    <t>Előfizetői szerződés BDSL-szolgáltatás igénybevételére</t>
  </si>
  <si>
    <t>9.500 Ft/hó+áfa</t>
  </si>
  <si>
    <t>S-13-103</t>
  </si>
  <si>
    <t>Előfizetői szerződés BDSL PLUSZ-szolgáltatás igénybevételére</t>
  </si>
  <si>
    <t>16.500 Ft/hó+áfa</t>
  </si>
  <si>
    <t>S-13-150</t>
  </si>
  <si>
    <t>Előfizetői szerződés ISDN 30 szolgáltatások igénybevételére 100 db előfizetői szám</t>
  </si>
  <si>
    <t>S-12-53</t>
  </si>
  <si>
    <t>Marton Szakértő Kft.</t>
  </si>
  <si>
    <t>NAT emelőgépek felülvizsgálata</t>
  </si>
  <si>
    <t>23.880 Ft/év+áfa</t>
  </si>
  <si>
    <t>S-10-591</t>
  </si>
  <si>
    <t>MID-ROLL Lift Services Kft.</t>
  </si>
  <si>
    <t>1 lépcsőnjáró mozgássérült-személyemelő gép karbantartása</t>
  </si>
  <si>
    <t>3.700 Ft/hó+áfa</t>
  </si>
  <si>
    <t>S-14-9</t>
  </si>
  <si>
    <t>Nagykőrösi Rehabilitációs Szakkórház és Rendelőintézet</t>
  </si>
  <si>
    <t>Foglalkozás-egészségügyi szolgáltatás</t>
  </si>
  <si>
    <t>OMV Hungária Zrt.</t>
  </si>
  <si>
    <t>Card-Routex kártyaszerződés</t>
  </si>
  <si>
    <t>S-12-147</t>
  </si>
  <si>
    <t>Önkormányzati Tűzoltóság Nagykőrös</t>
  </si>
  <si>
    <t>Szabadság tér 4. automatikus tűzjelző  rendszer jeleinek fogadása</t>
  </si>
  <si>
    <t>100 Ft/év</t>
  </si>
  <si>
    <t>S-13-70</t>
  </si>
  <si>
    <t>Pasarét Auditor Könyvvizsgáló és Tanácsadó Kft.</t>
  </si>
  <si>
    <t>Könyvizsgálói feladatok ellátása</t>
  </si>
  <si>
    <t>124.200 Ft/hó+áfa</t>
  </si>
  <si>
    <t>S-13-96</t>
  </si>
  <si>
    <t xml:space="preserve">SGS Hungária </t>
  </si>
  <si>
    <t>Tanúsítási szolgáltatások</t>
  </si>
  <si>
    <t>3 éves tanúsítási ciklus végéig</t>
  </si>
  <si>
    <t>558.000 Ft+áfa</t>
  </si>
  <si>
    <t>S-13-3</t>
  </si>
  <si>
    <t>Signalmik Kereskedelmi és Szolgáltató Kft.</t>
  </si>
  <si>
    <t>Szabadság tér 5. gázveszélyjelző berendezések karbantartása</t>
  </si>
  <si>
    <t>60.450 Ft/2 hó+áfa</t>
  </si>
  <si>
    <t>S-12-86</t>
  </si>
  <si>
    <t>"Közérdekű adatok" informatikai teendőinek ellátása</t>
  </si>
  <si>
    <t>29.955 Ft/hó</t>
  </si>
  <si>
    <t>S-14-12</t>
  </si>
  <si>
    <t>Telenor Magyarország Zrt.</t>
  </si>
  <si>
    <t>Komplex mobil távközlési szolgáltatás nyújtása</t>
  </si>
  <si>
    <t>S-13-80</t>
  </si>
  <si>
    <t>Thermotrade Kft.</t>
  </si>
  <si>
    <t>Szabadság tér 5. HOVAL kazánok karbantartása</t>
  </si>
  <si>
    <t>44.929 Ft/negyedév+áfa</t>
  </si>
  <si>
    <t>S-13-82</t>
  </si>
  <si>
    <t>Tigáz Zrt.</t>
  </si>
  <si>
    <t>Szabadság tér 4. gázdíj</t>
  </si>
  <si>
    <t>S-13-146</t>
  </si>
  <si>
    <t>T-Systems Magyarország Zrt.</t>
  </si>
  <si>
    <t>Telefonközpont rendzseres karbantartása</t>
  </si>
  <si>
    <t>60 hónap (5 év) a műszaki átadás-átvétel dátumától számítva</t>
  </si>
  <si>
    <t>339.176 Ft/hó+áfa</t>
  </si>
  <si>
    <t>S-13-108</t>
  </si>
  <si>
    <t>Uniqa Biztosító Zrt.</t>
  </si>
  <si>
    <t>LXB-537 Casco biztosítás</t>
  </si>
  <si>
    <t>12.450Ft/hó</t>
  </si>
  <si>
    <t>Szerződés 
azonosító</t>
  </si>
  <si>
    <t>Lakásbérlemények: 
Üzemeltetés: 855.000 Ft/hó+áfa Karbantartás: 855.000 Ft/hó+áfa Nem lakáscélú bérlemények: Karbantartás: 723.000 Ft/hó+áfa Karbantartás: 723.000 Ft/hó+áfa</t>
  </si>
  <si>
    <t>Ügyfél- és terméktámogatási szolgáltatás: 392.000 Ft/év+áfa Nagykőrös csapadékcsatorna 
e-közmű adatszolgáltatás: 
90.000 Ft/év+áfa</t>
  </si>
  <si>
    <t>2014. évi 
kötelezettség vállalás br. összege (Ft)</t>
  </si>
  <si>
    <t xml:space="preserve">NAGYKŐRÖS VÁROS ÖNKORMÁNYZAT KÖLTSÉGVETÉSI MÉRLEGE
FELADATOK SZERINTI BONTÁSBAN
</t>
  </si>
  <si>
    <t>Gazdaságfejlesztési beruházás</t>
  </si>
  <si>
    <t>Temetőhegyi önerős utak építése</t>
  </si>
  <si>
    <t>2014.évi infrastrukturális fejlesztések</t>
  </si>
  <si>
    <t>Víziközművagyon 2014. évi felújítása</t>
  </si>
  <si>
    <t>Halmozott előirányzat maradvány (folyószámla hitel)</t>
  </si>
  <si>
    <t xml:space="preserve">- Ellátottak pénzbeli juttatásaiból 
   az elszámolást követő évbentörténő visszafizetések </t>
  </si>
  <si>
    <t>FELHALMOZÁSI CÉLÚ TÁMOGATÁSOK 
ÁLLAMHÁZTATÁSON BELÜLRŐL</t>
  </si>
  <si>
    <t>MŰKÖDÉSI CÉLÚ TÁMOGATÁSOK 
ÁLLAMHÁZTATÁSON BELÜLRŐL</t>
  </si>
  <si>
    <t>Felhalmozási célú támogatások, felhalmozási célra átadott 
pénzeszközök</t>
  </si>
  <si>
    <t>Kötelező 
feladat</t>
  </si>
  <si>
    <t>Állami 
feladatok</t>
  </si>
  <si>
    <t>- ÁROP-3.A.2-2013-2013-0035  Szervezetfejlesztés 
  Nagykőrös Város Önkormányzatánál</t>
  </si>
  <si>
    <t>Eredeti 
előirányzat</t>
  </si>
  <si>
    <t>Előterjesztett
módosítás</t>
  </si>
  <si>
    <t>Kötelező 
feladatok</t>
  </si>
  <si>
    <t xml:space="preserve">Módosított 
előirányzat 
………………. 
rendelet
</t>
  </si>
  <si>
    <t>Központi irányítás TMK, Cifrakert, Sportpálya</t>
  </si>
  <si>
    <t xml:space="preserve"> Előterjesztett
módosítás </t>
  </si>
  <si>
    <t xml:space="preserve"> Módosított
előirányzat </t>
  </si>
  <si>
    <t>Építésügyi bírság</t>
  </si>
  <si>
    <t>Környezetvédelmi bírság</t>
  </si>
  <si>
    <t xml:space="preserve">  - Bérleti díj bevétel, családi események bevétele</t>
  </si>
  <si>
    <t>Egyéb felhalmozási célú   támogatások bevételei 
államháztartáson belül</t>
  </si>
  <si>
    <t>Rendszeres szociális segély</t>
  </si>
  <si>
    <t>Működési célú támogatások 
államháztartáson belül</t>
  </si>
  <si>
    <t>Felhalmozási célú támogatások 
államháztart. belül</t>
  </si>
  <si>
    <t>Pénzmaradvány felhalmozási célú 
felhasználása</t>
  </si>
  <si>
    <t>Költségvetési hiány külső finanszírozását 
szolgáló finanszírozási műveletek bevételei</t>
  </si>
  <si>
    <t>Felhalmozási célra hosszú lejáratú hitel 
felvétele</t>
  </si>
  <si>
    <t>Beruházás célú előzetesen felszámított adó</t>
  </si>
  <si>
    <t>Mezőgazdasági utak fejlesztése - Fűzfás építás</t>
  </si>
  <si>
    <t>Lakásfenntartási támogatás</t>
  </si>
  <si>
    <t>Foglalkoztatás helyettesítő támogatás</t>
  </si>
  <si>
    <t>09405</t>
  </si>
  <si>
    <t>Kamat bevételek</t>
  </si>
  <si>
    <t>Szabadság tér 5. épület</t>
  </si>
  <si>
    <t>Ellátási díjak</t>
  </si>
  <si>
    <t>- Adósságkonszolidáció</t>
  </si>
  <si>
    <t xml:space="preserve"> ebből: Iskola Konyha</t>
  </si>
  <si>
    <t>Nagykőrösi Arany János Kulturális Központ - színházterem felújítás</t>
  </si>
  <si>
    <t>Nagykőrösi Arany János Kulturális Központ - gépbeszerzés</t>
  </si>
  <si>
    <t xml:space="preserve"> ebből: Óvoda Konyha - gépbeszerzés - gépbeszerzés</t>
  </si>
  <si>
    <t xml:space="preserve"> ebből: Központi irányítás TMK, Cifrakert - gépbeszerzés</t>
  </si>
  <si>
    <t xml:space="preserve"> ebből: Parkfenntartás - gépbeszerzés</t>
  </si>
  <si>
    <t xml:space="preserve"> ebből: Köznevelési Intézmények működtetése - gépbeszerzés</t>
  </si>
  <si>
    <t xml:space="preserve"> ebből: Balatonakali tábor - gépbeszerzés</t>
  </si>
  <si>
    <t>Nagykőrösi Humánszolgáltató Központ - gépbeszerzés</t>
  </si>
  <si>
    <t>Nagykőrösi Humánszolgáltató Központ - Bajcsy-Zs.u.4. tetőfelújítás</t>
  </si>
  <si>
    <t xml:space="preserve"> ebből: Köznevelési Intézmények működtetése - tornacsarnok tető felújítás</t>
  </si>
  <si>
    <t xml:space="preserve"> ebből: Központi irányítás TMK, Cifrakert </t>
  </si>
  <si>
    <t xml:space="preserve"> ebből: Balatonakali tábor - fűrdőbővítés</t>
  </si>
  <si>
    <t>Nagykőrösi Bóbita Óvoda - gázkazán felújítás</t>
  </si>
  <si>
    <t>Nagykőrösi Kalocsa Balázs Óvoda - ajtó, ablak felújítás</t>
  </si>
  <si>
    <t>Nagykőrösi Mese-vár Óvoda - kapufelújítás</t>
  </si>
  <si>
    <t>Nagykőrösi Hétszínvirág Óvoda - iroda felújítás</t>
  </si>
  <si>
    <t>Nagykőrösi Bóbita Óvoda - gépbeszerzés</t>
  </si>
  <si>
    <t>Nagykőrösi Hétszínvirág Óvoda - gépbeszerzés</t>
  </si>
  <si>
    <t>Nagykőrösi Mese-vár Óvoda - gépbeszerzés</t>
  </si>
  <si>
    <t>Nagykőrösi Kalocsa Balázs Óvoda - gépbeszerzés</t>
  </si>
  <si>
    <t xml:space="preserve"> ebből: Iskola Konyha - járműbeszerzés</t>
  </si>
  <si>
    <t>Református Temető útfelújításának támogatása</t>
  </si>
  <si>
    <t>Aktuális
módosítás
+ -</t>
  </si>
  <si>
    <t>Aktuális
módostás
+ -</t>
  </si>
  <si>
    <t>Eddig módosított
előirányzat</t>
  </si>
  <si>
    <t xml:space="preserve"> Eddig 
módosított
előirányzat </t>
  </si>
  <si>
    <t>Eddig 
módosított
előirányzat</t>
  </si>
  <si>
    <t xml:space="preserve">  Eddig
módosított
előirányzat  </t>
  </si>
  <si>
    <t>Eddig
módosított előirányzat</t>
  </si>
  <si>
    <t>Aktulis
módosítás
+ -</t>
  </si>
  <si>
    <t>Aktuális
mdosítás
+ -</t>
  </si>
  <si>
    <t>Önként 
vállalt 
feladat</t>
  </si>
  <si>
    <t>Immateriális javak beszerzése</t>
  </si>
  <si>
    <t xml:space="preserve">   - Építésügyi bírságból származó bevétel</t>
  </si>
  <si>
    <t>2014. évi bérkompenzáció</t>
  </si>
  <si>
    <t>Muzeális intézmények szakmai támogatása</t>
  </si>
  <si>
    <t>- Közbiztonság növelését szolgáló önkormányzati fejlesztések</t>
  </si>
  <si>
    <t>09401</t>
  </si>
  <si>
    <t>Készletértékesítés</t>
  </si>
  <si>
    <t xml:space="preserve">Könyvtári érdekeltségnövelő </t>
  </si>
  <si>
    <t>Közművelődés érdekeltségnövelő támogatás</t>
  </si>
  <si>
    <t>- Ágazati pótlék</t>
  </si>
  <si>
    <t>- Kp-i költségvetésből 100 %-ban visszaig. Szoc. Támogatások</t>
  </si>
  <si>
    <t>- Alapfokú művészetoktatási feladatok ellátása</t>
  </si>
  <si>
    <t>- Itthon vagy Magyarország támogatása</t>
  </si>
  <si>
    <t>Egyéb szolgáltatások</t>
  </si>
  <si>
    <t>Ivóvíz és szennyvízbekötések támogatása</t>
  </si>
  <si>
    <t>12.</t>
  </si>
  <si>
    <t>Térfigyelő rendszer kiépítése</t>
  </si>
  <si>
    <t>13.</t>
  </si>
  <si>
    <t>Tárgyi eszközök beszerzése</t>
  </si>
  <si>
    <t xml:space="preserve">Ivóvíz minőség javító beruházás </t>
  </si>
  <si>
    <t>ÁROP-3. A.2-2013-2013-0035 szervezetfejlesztés</t>
  </si>
  <si>
    <t>KMOP-3.3.3.-13-2013-35 Napelemes rendszer kiépítése</t>
  </si>
  <si>
    <t>- Ország zászló állítás</t>
  </si>
  <si>
    <t>Víziközművagyon 2014. évi felújítása ÁFA</t>
  </si>
  <si>
    <t>Út, járda parkolóhely kialakítás</t>
  </si>
  <si>
    <t xml:space="preserve">5. </t>
  </si>
  <si>
    <t>Cifrakert, Svájci ház felújítása</t>
  </si>
  <si>
    <t>Cifrakert, Svájci ház felújítása Áfa</t>
  </si>
  <si>
    <t>14.</t>
  </si>
  <si>
    <t>Extrém sportpálya bővítése</t>
  </si>
  <si>
    <t>15.</t>
  </si>
  <si>
    <t>Cegléd-Nyársapát-Nagykőrös Összekötő kerékpár út</t>
  </si>
  <si>
    <t>16.</t>
  </si>
  <si>
    <t>ÁROP-3.A.2-2013-0035 felhalmozsi kiadásai</t>
  </si>
  <si>
    <t>17.</t>
  </si>
  <si>
    <t>ÁROP-3.A.2-2013-0035 felhalmozsi kiadásai ÁFA</t>
  </si>
  <si>
    <t>Ivóvíz- és szennyvízbekötések</t>
  </si>
  <si>
    <t>18.</t>
  </si>
  <si>
    <t>ÖNKORMÁNYZATI BERUHÁZÁSOK, FELÚJÍTÁSOK</t>
  </si>
  <si>
    <t>Eddig
módosított</t>
  </si>
  <si>
    <t>Eddig módosított előirányzat</t>
  </si>
  <si>
    <t>Aktuális módosítás +/-</t>
  </si>
  <si>
    <t>Szabadság tér 4. épület ÁFA</t>
  </si>
  <si>
    <t>- Előző évi működés célú előirányzat maradvány</t>
  </si>
  <si>
    <t>Rendszeres gyermekvédelmi kedvezmény</t>
  </si>
  <si>
    <t>- Rendszeres gyermekvédelmi kedvezmény</t>
  </si>
  <si>
    <t>FELHALMOZÁSI CÉLÚ TÁMOGATÁSOK ÁLLAMHÁZTARTÁSON BELÜLRŐL</t>
  </si>
  <si>
    <t>19.</t>
  </si>
  <si>
    <t>Vasútállomás előtti térfigyelő kamera</t>
  </si>
  <si>
    <t>20.</t>
  </si>
  <si>
    <t>Hild János díj köztéri szobor</t>
  </si>
  <si>
    <t xml:space="preserve">  A 2012. évről áthúzódó bérkompenzáció támogatása</t>
  </si>
  <si>
    <t>Eddig módosított</t>
  </si>
  <si>
    <t>Aktuális módosítás     + -</t>
  </si>
  <si>
    <t>Aktuális módosítás  +/ -</t>
  </si>
  <si>
    <t>Egyéb gép berendezés beszerzés</t>
  </si>
  <si>
    <t>Egyéb gép berendezés beszerzés - Áfa</t>
  </si>
  <si>
    <t>Szabadság tér 4. épület felhalmozási kiadásai</t>
  </si>
  <si>
    <t>Szabadság tér 4. épület felhalmozási kiadásai ÁFA</t>
  </si>
  <si>
    <t>Saját hatáskörben adott pénzügyi ellátás</t>
  </si>
  <si>
    <t>Gépjármű beszerzés</t>
  </si>
  <si>
    <t>Balatonakali/Pálfájai táboroztatás támogatása</t>
  </si>
  <si>
    <t>Hild János Díj köztéri szobor</t>
  </si>
  <si>
    <t xml:space="preserve">Hősök szobra </t>
  </si>
  <si>
    <t>Országzászló állítás</t>
  </si>
  <si>
    <t>Önkormányzati hitelek kiadásai</t>
  </si>
  <si>
    <t>Egyéb bevétel</t>
  </si>
  <si>
    <t>KEOP-7.1.0/11-2011-0007 Nagykőrös Város Ivóvízminőség javító beruházásának megvalósítása Beruházási célú előzetesen felszámított áfa</t>
  </si>
  <si>
    <t>Számítógép, szoftver, nyomtató, fénymásoló és egyéb hardvereszközök beszerzése működéshez</t>
  </si>
  <si>
    <r>
      <t>Aktuális
módosítás</t>
    </r>
    <r>
      <rPr>
        <sz val="11"/>
        <color indexed="8"/>
        <rFont val="Times New Roman"/>
        <family val="1"/>
        <charset val="238"/>
      </rPr>
      <t xml:space="preserve"> </t>
    </r>
    <r>
      <rPr>
        <b/>
        <sz val="11"/>
        <color indexed="8"/>
        <rFont val="Times New Roman"/>
        <family val="1"/>
        <charset val="238"/>
      </rPr>
      <t>+/-</t>
    </r>
  </si>
  <si>
    <t xml:space="preserve">   Nyári gyerek étkezetetés támogatása</t>
  </si>
  <si>
    <t xml:space="preserve">   E-útdíj bevezetésével kapcsolatos bev. Kiesés ellentételezése</t>
  </si>
  <si>
    <t>09116</t>
  </si>
  <si>
    <t>Helyi önkormányzatok kiegészítő támogatásai</t>
  </si>
  <si>
    <t>Adósságkonszolidáció</t>
  </si>
  <si>
    <t>Ágazati pótlék</t>
  </si>
  <si>
    <t>Előző évi működés célú előirányzat maradvány</t>
  </si>
  <si>
    <t>Tehergépjármű bérleti díja</t>
  </si>
  <si>
    <t>2014. év végén fennáló bérleti díj tartozás</t>
  </si>
  <si>
    <t xml:space="preserve">- Közalapítvány támogatása Országzászló állításhoz díj </t>
  </si>
  <si>
    <t>Módosított
előirányzat</t>
  </si>
  <si>
    <t>Teljesítés</t>
  </si>
  <si>
    <t>Teljesítés/
Módosított
előirányzat %</t>
  </si>
  <si>
    <t xml:space="preserve"> Teljesítés </t>
  </si>
  <si>
    <t xml:space="preserve"> Teljesítés/
Módosított
előirányzat % </t>
  </si>
  <si>
    <t xml:space="preserve"> Eredeti 
előirányzat </t>
  </si>
  <si>
    <t xml:space="preserve"> - Előző évi működési célú előirányzat maradvány, pénzmaradvány</t>
  </si>
  <si>
    <t>Módosított 
előirányzat</t>
  </si>
  <si>
    <t>INGATLAN ÉS ÉRTÉKPAPÍROK VAGYONKIMUTATÁSA
2012.</t>
  </si>
  <si>
    <t>INGATLANKATASZTER</t>
  </si>
  <si>
    <t>db</t>
  </si>
  <si>
    <t>Bruttó érték
(ezer Ft)</t>
  </si>
  <si>
    <t>Forgalomképes ingatlan</t>
  </si>
  <si>
    <t>Korlátozottan forgalomképes helyi döntés alapján</t>
  </si>
  <si>
    <t>Korlátozottan forgalomképes törvény alapján</t>
  </si>
  <si>
    <t>Forgalomképtelen helyi döntés alapján</t>
  </si>
  <si>
    <t>Forgalomképtelen törvény alapján</t>
  </si>
  <si>
    <t xml:space="preserve">          Ö S S Z E S E N</t>
  </si>
  <si>
    <t>ÉRTÉKPAPÍROK, RÉSZESEDÉSEK</t>
  </si>
  <si>
    <t>Névérték
(ezer Ft)</t>
  </si>
  <si>
    <t>Nyilvántartási
érték 
(ezer  Ft)</t>
  </si>
  <si>
    <t xml:space="preserve">           Ö S S Z E S E N</t>
  </si>
  <si>
    <t/>
  </si>
  <si>
    <t>ESZKÖZÖK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</si>
  <si>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</si>
  <si>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</si>
  <si>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</si>
  <si>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</si>
  <si>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</si>
  <si>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</si>
  <si>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</si>
  <si>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</si>
  <si>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</si>
  <si>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</si>
  <si>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</si>
  <si>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</si>
  <si>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</si>
  <si>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</si>
  <si>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</si>
  <si>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</si>
  <si>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</si>
  <si>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</si>
  <si>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</si>
  <si>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</si>
  <si>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</si>
  <si>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</si>
  <si>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</si>
  <si>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</si>
  <si>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</si>
  <si>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</si>
  <si>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</si>
  <si>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</si>
  <si>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</si>
  <si>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</si>
  <si>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</si>
  <si>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</si>
  <si>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</si>
  <si>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</si>
  <si>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</si>
  <si>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</si>
  <si>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</si>
  <si>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</si>
  <si>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</si>
  <si>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</si>
  <si>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</si>
  <si>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</si>
  <si>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</si>
  <si>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</si>
  <si>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</si>
  <si>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</si>
  <si>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</si>
  <si>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</si>
  <si>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</si>
  <si>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</si>
  <si>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</si>
  <si>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</si>
  <si>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</si>
  <si>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</si>
  <si>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</si>
  <si>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</si>
  <si>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</si>
  <si>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</si>
  <si>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</si>
  <si>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</si>
  <si>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</si>
  <si>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</si>
  <si>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</si>
  <si>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</si>
  <si>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</si>
  <si>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</si>
  <si>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</si>
  <si>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</si>
  <si>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</si>
  <si>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</si>
  <si>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</si>
  <si>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</si>
  <si>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</si>
  <si>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</si>
  <si>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</si>
  <si>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FORRÁSOK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</si>
  <si>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</si>
  <si>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</si>
  <si>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</si>
  <si>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</si>
  <si>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</si>
  <si>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</si>
  <si>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</si>
  <si>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</si>
  <si>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</si>
  <si>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</si>
  <si>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</si>
  <si>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</si>
  <si>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</si>
  <si>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</si>
  <si>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</si>
  <si>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</si>
  <si>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</si>
  <si>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</si>
  <si>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</si>
  <si>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</si>
  <si>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</si>
  <si>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</si>
  <si>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</si>
  <si>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</si>
  <si>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</si>
  <si>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</si>
  <si>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</si>
  <si>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</si>
  <si>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</si>
  <si>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</si>
  <si>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</si>
  <si>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</si>
  <si>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</si>
  <si>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</si>
  <si>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</si>
  <si>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</si>
  <si>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</si>
  <si>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</si>
  <si>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</si>
  <si>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</si>
  <si>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</si>
  <si>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</si>
  <si>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</si>
  <si>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</si>
  <si>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</si>
  <si>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</si>
  <si>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</si>
  <si>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</si>
  <si>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</si>
  <si>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</si>
  <si>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</si>
  <si>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</si>
  <si>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</si>
  <si>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</si>
  <si>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</si>
  <si>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</si>
  <si>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</si>
  <si>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</si>
  <si>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</si>
  <si>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</si>
  <si>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</si>
  <si>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</si>
  <si>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</si>
  <si>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</si>
  <si>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</si>
  <si>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</si>
  <si>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VAGYONKIMUTATÁS MÉRLEGTÉTELEK ALAPJÁN 2014</t>
  </si>
  <si>
    <t>ok</t>
  </si>
  <si>
    <t>NAGYKŐRÖS VÁROS ÖNKORMÁNYZAT 2014. ÉVI LÉTSZÁM ADATAI</t>
  </si>
  <si>
    <t>Engedélyezett létszám (fő) december 31.</t>
  </si>
  <si>
    <t>Forrás részvény           20 db/1.000 Ft</t>
  </si>
  <si>
    <t>ELMŰ részvény           8 db/10.000 Ft</t>
  </si>
  <si>
    <t>Aragó                           84 db/1.000 Ft</t>
  </si>
  <si>
    <t xml:space="preserve">Bácsvíz Zrt. </t>
  </si>
  <si>
    <t>KŐVA Zrt.              400 db/250.000 Ft</t>
  </si>
  <si>
    <t>Előleg igénybevétele</t>
  </si>
  <si>
    <t>%</t>
  </si>
  <si>
    <t>Előző évi állomány érték</t>
  </si>
  <si>
    <t>Tárgyévi állomány érték</t>
  </si>
  <si>
    <t>A/I/1        Vagyoni értékű jogok</t>
  </si>
  <si>
    <t>A/I/2        Szellemi termékek</t>
  </si>
  <si>
    <t>A/I/3        Immateriális javak értékhelyesbítése</t>
  </si>
  <si>
    <t>A/I        Immateriális javak (=A/I/1+A/I/2+A/I/3) (04=01+02+03)</t>
  </si>
  <si>
    <t>A/II/1        Ingatlanok és a kapcsolódó vagyoni értékű jogok</t>
  </si>
  <si>
    <t>A/II/2        Gépek, berendezések, felszerelések, járművek</t>
  </si>
  <si>
    <t>A/II/3        Tenyészállatok</t>
  </si>
  <si>
    <t>A/II/4        Beruházások, felújítások</t>
  </si>
  <si>
    <t>A/II/5        Tárgyi eszközök értékhelyesbítése</t>
  </si>
  <si>
    <t>A/II        Tárgyi eszközök (=A/II/1+...+A/II/5) (10=05+...+09)</t>
  </si>
  <si>
    <t>A/III/1        Tartós részesedések (11&gt;=12+13)</t>
  </si>
  <si>
    <t>A/III/1a        - ebből: tartós részesedések jegybankban</t>
  </si>
  <si>
    <t>A/III/1b        - ebből: tartós részesedések társulásban</t>
  </si>
  <si>
    <t>A/III/2        Tartós hitelviszonyt megtestesítő értékpapírok (14&gt;=15+16)</t>
  </si>
  <si>
    <t>A/III/2a        - ebből: államkötvények</t>
  </si>
  <si>
    <t>A/III/2b        - ebből: helyi önkormányzatok kötvényei</t>
  </si>
  <si>
    <t>A/III/3        Befektetett pénzügyi eszközök értékhelyesbítése</t>
  </si>
  <si>
    <t>A/III        Befektetett pénzügyi eszközök (=A/III/1+A/III/2+A/III/3) (18=11+14+17)</t>
  </si>
  <si>
    <t>A/IV/1        Koncesszióba, vagyonkezelésbe adott eszközök</t>
  </si>
  <si>
    <t>A/IV/2        Koncesszióba, vagyonkezelésbe adott eszközök értékhelyesbítése</t>
  </si>
  <si>
    <t>A/IV        Koncesszióba, vagyonkezelésbe adott eszközök (=A/IV/1+A/IV/2) (21=19+20)</t>
  </si>
  <si>
    <t>A)        NEMZETI VAGYONBA TARTOZÓ BEFEKTETETT ESZKÖZÖK (=A/I+A/II+A/III+A/IV) (22=04+10+18+21)</t>
  </si>
  <si>
    <t>B/I/1        Vásárolt készletek</t>
  </si>
  <si>
    <t>B/I/2        Átsorolt, követelés fejében átvett készletek</t>
  </si>
  <si>
    <t>B/I/3        Egyéb készletek</t>
  </si>
  <si>
    <t>B/I/4        Befejezetlen termelés, félkész termékek, késztermékek</t>
  </si>
  <si>
    <t>B/I/5        Növendék-, hízó és egyéb állatok</t>
  </si>
  <si>
    <t>B/I        Készletek (=B/I/1+…+B/I/5) (28=23+...+27)</t>
  </si>
  <si>
    <t>B/II/1        Nem tartós részesedések</t>
  </si>
  <si>
    <t>B/II/2        Forgatási célú hitelviszonyt megtestesítő értékpapírok (30&gt;=31+...+35)</t>
  </si>
  <si>
    <t>B/II/2a        - ebből: kárpótlási jegyek</t>
  </si>
  <si>
    <t>B/II/2b        - ebből: kincstárjegyek</t>
  </si>
  <si>
    <t>B/II/2c        - ebből: államkötvények</t>
  </si>
  <si>
    <t>B/II/2d        - ebből: helyi önkormányzatok kötvényei</t>
  </si>
  <si>
    <t>B/II/2e        - ebből: befektetési jegyek</t>
  </si>
  <si>
    <t>B/II        Értékpapírok (=B/II/1+B/II/2) (36=29+30)</t>
  </si>
  <si>
    <t>B)        NEMZETI VAGYONBA TARTOZÓ FORGÓESZKÖZÖK (= B/I+B/II) (37=28+36)</t>
  </si>
  <si>
    <t>C/I        Hosszú lejáratú betétek</t>
  </si>
  <si>
    <t>C/II        Pénztárak, csekkek, betétkönyvek</t>
  </si>
  <si>
    <t>C/III        Forintszámlák</t>
  </si>
  <si>
    <t>C/IV        Devizaszámlák</t>
  </si>
  <si>
    <t>C/V        Idegen pénzeszközök</t>
  </si>
  <si>
    <t>C)        PÉNZESZKÖZÖK (=C/I+…+C/V) (43=38+...+42)</t>
  </si>
  <si>
    <t>D/I/1        Költségvetési évben esedékes követelések működési célú támogatások bevételeire államháztartáson belülről (44&gt;=45)</t>
  </si>
  <si>
    <t>D/I/1a        - ebből: költségvetési évben esedékes követelések működési célú visszatérítendő támogatások, kölcsönök visszatérülésére államháztartáson belülről</t>
  </si>
  <si>
    <t>D/I/2        Költségvetési évben esedékes követelések felhalmozási célú támogatások bevételeire államháztartáson belülről (46&gt;=47)</t>
  </si>
  <si>
    <t>D/I/2a        - ebből: költségvetési évben esedékes követelések felhalmozási célú visszatérítendő támogatások, kölcsönök visszatérülésére államháztartáson belülről</t>
  </si>
  <si>
    <t>D/I/3        Költségvetési évben esedékes követelések közhatalmi bevételre</t>
  </si>
  <si>
    <t>D/I/4        Költségvetési évben esedékes követelések működési bevételre</t>
  </si>
  <si>
    <t>D/I/5        Költségvetési évben esedékes követelések felhalmozási bevételre</t>
  </si>
  <si>
    <t>D/I/6        Költségvetési évben esedékes követelések működési célú átvett pénzeszközre (51&gt;=52)</t>
  </si>
  <si>
    <t>D/I/6a        - ebből: költségvetési évben esedékes követelések működési célú visszatérítendő támogatások, kölcsönök visszatérülésére államháztartáson kívülről</t>
  </si>
  <si>
    <t>D/I/7        Költségvetési évben esedékes követelések felhalmozási célú átvett pénzeszközre (53&gt;=54)</t>
  </si>
  <si>
    <t>D/I/7a        - ebből: költségvetési évben esedékes követelések felhalmozási célú visszatérítendő támogatások, kölcsönök visszatérülésére államháztartáson kívülről</t>
  </si>
  <si>
    <t>D/I/8        Költségvetési évben esedékes követelések finanszírozási bevételekre (55&gt;=56)</t>
  </si>
  <si>
    <t>D/I/8a        - ebből: költségvetési évben esedékes követelések államháztartáson belüli megelőlegezések törlesztésére</t>
  </si>
  <si>
    <t>D/I        Költségvetési évben esedékes követelések (=D/I/1+…+D/I/8) (57=44+46+48+...+51+53+55)</t>
  </si>
  <si>
    <t>D/II/1        Költségvetési évet követően esedékes követelések működési célú támogatások bevételeire államháztartáson belülről (58&gt;=59)</t>
  </si>
  <si>
    <t>D/II/1a        - ebből: költségvetési évet követően esedékes követelések működési célú visszatérítendő támogatások, kölcsönök visszatérülésére államháztartáson belülről</t>
  </si>
  <si>
    <t>D/II/2        Költségvetési évet követően esedékes követelések felhalmozási célú támogatások bevételeire államháztartáson belülről (60&gt;=61)</t>
  </si>
  <si>
    <t>D/II/2a        - ebből: költségvetési évet követően esedékes követelések felhalmozási célú visszatérítendő támogatások, kölcsönök visszatérülésére államháztartáson belülről</t>
  </si>
  <si>
    <t>D/II/3        Költségvetési évet követően esedékes követelések közhatalmi bevételre</t>
  </si>
  <si>
    <t>D/II/4        Költségvetési évet követően esedékes követelések működési bevételre</t>
  </si>
  <si>
    <t>D/II/5        Költségvetési évet követően esedékes követelések felhalmozási bevételre</t>
  </si>
  <si>
    <t>D/II/6        Költségvetési évet követően esedékes követelések működési célú átvett pénzeszközre (65&gt;=66)</t>
  </si>
  <si>
    <t>D/II/6a        - ebből: költségvetési évet követően esedékes követelések működési célú visszatérítendő támogatások, kölcsönök visszatérülésére államháztartáson kívülről</t>
  </si>
  <si>
    <t>D/II/7        Költségvetési évet követően esedékes követelések felhalmozási célú átvett pénzeszközre (67&gt;=68)</t>
  </si>
  <si>
    <t>D/II/7a        - ebből: költségvetési évet követően esedékes követelések felhalmozási célú visszatérítendő támogatások, kölcsönök visszatérülésére államháztartáson kívülről</t>
  </si>
  <si>
    <t>D/II/8        Költségvetési évet követően esedékes követelések finanszírozási bevételekre (69&gt;=70)</t>
  </si>
  <si>
    <t>D/II8a        - ebből: költségvetési évet követően esedékes követelések államháztartáson belüli megelőlegezések törlesztésére</t>
  </si>
  <si>
    <t>D/II        Költségvetési évet követően esedékes követelések (=D/II/1+…+D/II/8) (71=58+60+62+...+65+67+69)</t>
  </si>
  <si>
    <t>D/III/1        Adott előlegek (72&gt;=73+...+77)</t>
  </si>
  <si>
    <t>D/III/1a        - ebből: immateriális javakra adott előlegek</t>
  </si>
  <si>
    <t>D/III/1b        - ebből: beruházásokra adott előlegek</t>
  </si>
  <si>
    <t>D/III/1c        - ebből: készletekre adott előlegek</t>
  </si>
  <si>
    <t>D/III/1d        - ebből: foglalkoztatottaknak adott előlegek</t>
  </si>
  <si>
    <t>D/III/1e        - ebből: egyéb adott előlegek</t>
  </si>
  <si>
    <t>D/III/2        Továbbadási célból folyósított támogatások, ellátások elszámolása</t>
  </si>
  <si>
    <t>D/III/3        Más által beszedett bevételek elszámolása</t>
  </si>
  <si>
    <t>D/III/4        Forgótőke elszámolása</t>
  </si>
  <si>
    <t>D/III/5        Vagyonkezelésbe adott eszközökkel kapcsolatos visszapótlási követelés elszámolása</t>
  </si>
  <si>
    <t>D/III/6        Nem társadalombiztosítás pénzügyi alapjait terhelő kifizetett ellátások megtérítésének elszámolása</t>
  </si>
  <si>
    <t>D/III/7        Folyósított, megelőlegezett társadalombiztosítási és családtámogatási ellátások elszámolása</t>
  </si>
  <si>
    <t>D/III        Követelés jellegű sajátos elszámolások (=D/III/1+…+D/III/7) (84=72+78+...+83)</t>
  </si>
  <si>
    <t>D)        KÖVETELÉSEK (=D/I+D/II+D/III) (85=57+71+84)</t>
  </si>
  <si>
    <t>E)        EGYÉB SAJÁTOS ESZKÖZOLDALI ELSZÁMOLÁSOK</t>
  </si>
  <si>
    <t>F/1        Eredményszemléletű bevételek aktív időbeli elhatárolása</t>
  </si>
  <si>
    <t>F/2        Költségek, ráfordítások aktív időbeli elhatárolása</t>
  </si>
  <si>
    <t>F/3        Halasztott ráfordítások</t>
  </si>
  <si>
    <t>F)        AKTÍV IDŐBELI ELHATÁROLÁSOK (=F/1+F/2+F/3) (90=87+...+89)</t>
  </si>
  <si>
    <t>ESZKÖZÖK ÖSSZESEN (=A+B+C+D+E+F) (91=22+37+43+85+86+90)</t>
  </si>
  <si>
    <t>G/I        Nemzeti vagyon induláskori értéke</t>
  </si>
  <si>
    <t>G/II        Nemzeti vagyon változásai</t>
  </si>
  <si>
    <t>G/III        Egyéb eszközök induláskori értéke és változásai</t>
  </si>
  <si>
    <t>G/IV        Felhalmozott eredmény</t>
  </si>
  <si>
    <t>G/V        Eszközök értékhelyesbítésének forrása</t>
  </si>
  <si>
    <t>G/VI        Mérleg szerinti eredmény</t>
  </si>
  <si>
    <t>G)        SAJÁT TŐKE (=G/I+…+G/VI) (98=92+...+97)</t>
  </si>
  <si>
    <t>H/I/1        Költségvetési évben esedékes kötelezettségek személyi juttatásokra</t>
  </si>
  <si>
    <t>H/I/2        Költségvetési évben esedékes kötelezettségek munkaadókat terhelő járulékokra és szociális hozzájárulási adóra</t>
  </si>
  <si>
    <t>H/I/3        Költségvetési évben esedékes kötelezettségek dologi kiadásokra</t>
  </si>
  <si>
    <t>H/I/4        Költségvetési évben esedékes kötelezettségek ellátottak pénzbeli juttatásaira</t>
  </si>
  <si>
    <t>H/I/5        Költségvetési évben esedékes kötelezettségek egyéb működési célú kiadásokra (103&gt;=104)</t>
  </si>
  <si>
    <t>H/I/5a        - ebből: költségvetési évben esedékes kötelezettségek működési célú visszatérítendő támogatások, kölcsönök törlesztésére államháztartáson belülre</t>
  </si>
  <si>
    <t>H/I/6        Költségvetési évben esedékes kötelezettségek beruházásokra</t>
  </si>
  <si>
    <t>H/I/7        Költségvetési évben esedékes kötelezettségek felújításokra</t>
  </si>
  <si>
    <t>H/I/8        Költségvetési évben esedékes kötelezettségek egyéb felhalmozási célú kiadásokra (107&gt;=108)</t>
  </si>
  <si>
    <t>H/I/8a        - ebből: költségvetési évben esedékes kötelezettségek felhalmozási célú visszatérítendő támogatások, kölcsönök törlesztésére államháztartáson belülre</t>
  </si>
  <si>
    <t>H/I/9        Költségvetési évben esedékes kötelezettségek finanszírozási kiadásokra (109&gt;=110+...+117)</t>
  </si>
  <si>
    <t>H/I/9a        - ebből: költségvetési évben esedékes kötelezettségek államháztartáson belüli megelőlegezések visszafizetésére</t>
  </si>
  <si>
    <t>H/I/9b        - ebből: költségvetési évben esedékes kötelezettségek hosszú lejáratú hitelek, kölcsönök törlesztésére</t>
  </si>
  <si>
    <t>H/I/9c        - ebből: költségvetési évben esedékes kötelezettségek likviditási célú hitelek, kölcsönök törlesztésére pénzügyi vállalkozásoknak</t>
  </si>
  <si>
    <t>H/I/9d        - ebből: költségvetési évben esedékes kötelezettségek rövid lejáratú hitelek, kölcsönök törlesztésére</t>
  </si>
  <si>
    <t>H/I/9e        - ebből: költségvetési évben esedékes kötelezettségek külföldi hitelek, kölcsönök törlesztésére</t>
  </si>
  <si>
    <t>H/I/9f        - ebből: költségvetési évben esedékes kötelezettségek forgatási célú belföldi értékpapírok beváltására</t>
  </si>
  <si>
    <t>H/I/9g        - ebből: költségvetési évben esedékes kötelezettségek befektetési célú belföldi értékpapírok beváltására</t>
  </si>
  <si>
    <t>H/I/9h        - ebből: költségvetési évben esedékes kötelezettségek külföldi értékpapírok beváltására</t>
  </si>
  <si>
    <t>H/I        Költségvetési évben esedékes kötelezettségek (=H/I/1+…H/I/9) (118=99+...+103+105+...+107+109)</t>
  </si>
  <si>
    <t>H/II/1        Költségvetési évet követően esedékes kötelezettségek személyi juttatásokra</t>
  </si>
  <si>
    <t>H/II/2        Költségvetési évet követően esedékes kötelezettségek munkaadókat terhelő járulékokra és szociális hozzájárulási adóra</t>
  </si>
  <si>
    <t>H/II/3        Költségvetési évet követően esedékes kötelezettségek dologi kiadásokra</t>
  </si>
  <si>
    <t>H/II/4        Költségvetési évet követően esedékes kötelezettségek ellátottak pénzbeli juttatásaira</t>
  </si>
  <si>
    <t>H/II/5        Költségvetési évet követően esedékes kötelezettségek egyéb működési célú kiadásokra (123&gt;=124)</t>
  </si>
  <si>
    <t>H/II/5a        - ebből: költségvetési évet követően esedékes kötelezettségek működési célú visszatérítendő támogatások, kölcsönök törlesztésére államháztartáson belülre</t>
  </si>
  <si>
    <t>H/II/6        Költségvetési évet követően esedékes kötelezettségek beruházásokra</t>
  </si>
  <si>
    <t>H/II/7        Költségvetési évet követően esedékes kötelezettségek felújításokra</t>
  </si>
  <si>
    <t>H/II/8        Költségvetési évet követően esedékes kötelezettségek egyéb felhalmozási célú kiadásokra (127&gt;=128)</t>
  </si>
  <si>
    <t>H/II/8a        - ebből: költségvetési évet követően esedékes kötelezettségek felhalmozási célú visszatérítendő támogatások, kölcsönök törlesztésére államháztartáson belülre</t>
  </si>
  <si>
    <t>H/II/9        Költségvetési évet követően esedékes kötelezettségek finanszírozási kiadásokra (129&gt;=130+...+137)</t>
  </si>
  <si>
    <t>H/II/9a        - ebből: költségvetési évet követően esedékes kötelezettségek államháztartáson belüli megelőlegezések visszafizetésére</t>
  </si>
  <si>
    <t>H/II/9b        - ebből: költségvetési évet követően esedékes kötelezettségek hosszú lejáratú hitelek, kölcsönök törlesztésére</t>
  </si>
  <si>
    <t>H/II/9c        - ebből: költségvetési évet követően esedékes kötelezettségek likviditási célú hitelek, kölcsönök törlesztésére pénzügyi vállalkozásoknak</t>
  </si>
  <si>
    <t>H/II/9d        - ebből: költségvetési évet követően esedékes kötelezettségek rövid lejáratú hitelek, kölcsönök törlesztésére</t>
  </si>
  <si>
    <t>H/II/9e        - ebből: költségvetési évet követően esedékes kötelezettségek külföldi hitelek, kölcsönök törlesztésére</t>
  </si>
  <si>
    <t>H/II/9f        - ebből: költségvetési évet követően esedékes kötelezettségek forgatási célú belföldi értékpapírok beváltására</t>
  </si>
  <si>
    <t>H/II/9g        - ebből: költségvetési évet követően esedékes kötelezettségek befektetési célú belföldi értékpapírok beváltására</t>
  </si>
  <si>
    <t>H/II/9h        - ebből: költségvetési évévet követően esedékes kötelezettségek külföldi értékpapírok beváltására</t>
  </si>
  <si>
    <t>H/II        Költségvetési évet követően esedékes kötelezettségek (=H/II/1+…H/II/9) (138=119+...+123+125+...+127+129)</t>
  </si>
  <si>
    <t>H/III/1        Kapott előlegek</t>
  </si>
  <si>
    <t>H/III/2        Továbbadási célból folyósított támogatások, ellátások elszámolása</t>
  </si>
  <si>
    <t>H/III/3        Más szervezetet megillető bevételek elszámolása</t>
  </si>
  <si>
    <t>142</t>
  </si>
  <si>
    <t>H/III/4        Forgótőke elszámolása (Kincstár)</t>
  </si>
  <si>
    <t>143</t>
  </si>
  <si>
    <t>H/III/5        Vagyonkezelésbe vett eszközökkel kapcsolatos visszapótlási kötelezettség elszámolása</t>
  </si>
  <si>
    <t>144</t>
  </si>
  <si>
    <t>H/III/6        Nem társadalombiztosítás pénzügyi alapjait terhelő kifizetett ellátások megtérítésének elszámolása</t>
  </si>
  <si>
    <t>145</t>
  </si>
  <si>
    <t>H/III/7        Munkáltató által korengedményes nyugdíjhoz megfizetett hozzájárulás elszámolása</t>
  </si>
  <si>
    <t>146</t>
  </si>
  <si>
    <t>H/III        Kötelezettség jellegű sajátos elszámolások (=H)/III/1+…+H)/III/7) (146=139+...+145)</t>
  </si>
  <si>
    <t>147</t>
  </si>
  <si>
    <t>H)        KÖTELEZETTSÉGEK (=H/I+H/II+H/III) (=118+138+146)</t>
  </si>
  <si>
    <t>148</t>
  </si>
  <si>
    <t>I)        EGYÉB SAJÁTOS FORRÁSOLDALI ELSZÁMOLÁSOK</t>
  </si>
  <si>
    <t>149</t>
  </si>
  <si>
    <t>J)        KINCSTÁRI SZÁMLAVEZETÉSSEL KAPCSOLATOS ELSZÁMOLÁSOK</t>
  </si>
  <si>
    <t>150</t>
  </si>
  <si>
    <t>K/1        Eredményszemléletű bevételek passzív időbeli elhatárolása</t>
  </si>
  <si>
    <t>151</t>
  </si>
  <si>
    <t>K/2        Költségek, ráfordítások passzív időbeli elhatárolása</t>
  </si>
  <si>
    <t>152</t>
  </si>
  <si>
    <t>K/3        Halasztott eredményszemléletű bevételek</t>
  </si>
  <si>
    <t>153</t>
  </si>
  <si>
    <t>K)        PASSZÍV IDŐBELI ELHATÁROLÁSOK (=K/1+K/2+K/3) (153=150+...+152)</t>
  </si>
  <si>
    <t>154</t>
  </si>
  <si>
    <t>FORRÁSOK ÖSSZESEN (=G+H+I+J+K) (=154=98+147+...+149+153)</t>
  </si>
</sst>
</file>

<file path=xl/styles.xml><?xml version="1.0" encoding="utf-8"?>
<styleSheet xmlns="http://schemas.openxmlformats.org/spreadsheetml/2006/main">
  <numFmts count="12">
    <numFmt numFmtId="6" formatCode="#,##0\ &quot;Ft&quot;;[Red]\-#,##0\ &quot;Ft&quot;"/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0.0%"/>
    <numFmt numFmtId="166" formatCode="#,###"/>
    <numFmt numFmtId="167" formatCode="_-* #,##0\ _F_t_-;\-* #,##0\ _F_t_-;_-* &quot;-&quot;?\ _F_t_-;_-@_-"/>
    <numFmt numFmtId="168" formatCode="yyyy\-mm\-dd"/>
    <numFmt numFmtId="169" formatCode="#,##0\ &quot;Ft&quot;"/>
    <numFmt numFmtId="170" formatCode="0.0"/>
    <numFmt numFmtId="171" formatCode="#,##0_ ;\-#,##0\ "/>
  </numFmts>
  <fonts count="14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MS Sans Serif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i/>
      <sz val="10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8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i/>
      <sz val="10"/>
      <name val="Calibri"/>
      <family val="2"/>
      <charset val="238"/>
    </font>
    <font>
      <sz val="11"/>
      <color indexed="22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2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4"/>
      <name val="Calibri"/>
      <family val="2"/>
      <charset val="238"/>
    </font>
    <font>
      <i/>
      <sz val="10"/>
      <name val="Arial"/>
      <family val="2"/>
      <charset val="238"/>
    </font>
    <font>
      <b/>
      <sz val="10"/>
      <color rgb="FF006100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color indexed="12"/>
      <name val="Times New Roman"/>
      <family val="1"/>
      <charset val="238"/>
    </font>
    <font>
      <b/>
      <sz val="11"/>
      <color indexed="20"/>
      <name val="Times New Roman"/>
      <family val="1"/>
      <charset val="238"/>
    </font>
    <font>
      <b/>
      <sz val="11"/>
      <color indexed="16"/>
      <name val="Times New Roman"/>
      <family val="1"/>
      <charset val="238"/>
    </font>
    <font>
      <b/>
      <sz val="11.5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3"/>
      <color indexed="8"/>
      <name val="Times New Roman"/>
      <family val="1"/>
      <charset val="238"/>
    </font>
    <font>
      <sz val="13"/>
      <name val="Times New Roman"/>
      <family val="1"/>
      <charset val="238"/>
    </font>
    <font>
      <b/>
      <sz val="14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color indexed="8"/>
      <name val="Times New Roman"/>
      <family val="1"/>
      <charset val="238"/>
    </font>
    <font>
      <b/>
      <sz val="13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i/>
      <sz val="13"/>
      <color indexed="8"/>
      <name val="Times New Roman"/>
      <family val="1"/>
      <charset val="238"/>
    </font>
    <font>
      <i/>
      <sz val="13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3"/>
      <color rgb="FF006100"/>
      <name val="Times New Roman"/>
      <family val="1"/>
      <charset val="238"/>
    </font>
    <font>
      <b/>
      <sz val="18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3"/>
      <name val="Calibri"/>
      <family val="2"/>
      <charset val="238"/>
    </font>
    <font>
      <sz val="13"/>
      <color theme="1"/>
      <name val="Times New Roman"/>
      <family val="1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i/>
      <sz val="13"/>
      <color indexed="8"/>
      <name val="Calibri"/>
      <family val="2"/>
      <charset val="238"/>
    </font>
    <font>
      <b/>
      <sz val="15"/>
      <name val="Times New Roman"/>
      <family val="1"/>
      <charset val="238"/>
    </font>
    <font>
      <sz val="15"/>
      <name val="Times New Roman"/>
      <family val="1"/>
      <charset val="238"/>
    </font>
    <font>
      <b/>
      <sz val="15"/>
      <color indexed="8"/>
      <name val="Times New Roman"/>
      <family val="1"/>
      <charset val="238"/>
    </font>
    <font>
      <b/>
      <sz val="15"/>
      <color rgb="FFFF0000"/>
      <name val="Times New Roman"/>
      <family val="1"/>
      <charset val="238"/>
    </font>
    <font>
      <sz val="15"/>
      <color indexed="8"/>
      <name val="Times New Roman"/>
      <family val="1"/>
      <charset val="238"/>
    </font>
    <font>
      <sz val="15"/>
      <color rgb="FFFF0000"/>
      <name val="Times New Roman"/>
      <family val="1"/>
      <charset val="238"/>
    </font>
    <font>
      <sz val="15"/>
      <color theme="1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i/>
      <sz val="15"/>
      <color theme="1"/>
      <name val="Times New Roman"/>
      <family val="1"/>
      <charset val="238"/>
    </font>
    <font>
      <i/>
      <sz val="15"/>
      <color indexed="8"/>
      <name val="Times New Roman"/>
      <family val="1"/>
      <charset val="238"/>
    </font>
    <font>
      <i/>
      <sz val="15"/>
      <color rgb="FFFF0000"/>
      <name val="Times New Roman"/>
      <family val="1"/>
      <charset val="238"/>
    </font>
    <font>
      <b/>
      <i/>
      <sz val="15"/>
      <color indexed="8"/>
      <name val="Times New Roman"/>
      <family val="1"/>
      <charset val="238"/>
    </font>
    <font>
      <sz val="15"/>
      <name val="Arial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3"/>
      <color rgb="FFFF0000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3"/>
      <color theme="1"/>
      <name val="Times New Roman"/>
      <family val="1"/>
      <charset val="238"/>
    </font>
    <font>
      <b/>
      <i/>
      <sz val="13"/>
      <color theme="1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3"/>
      <color rgb="FFFF0000"/>
      <name val="Times New Roman"/>
      <family val="1"/>
      <charset val="238"/>
    </font>
    <font>
      <i/>
      <sz val="13"/>
      <color rgb="FFFF0000"/>
      <name val="Times New Roman"/>
      <family val="1"/>
      <charset val="238"/>
    </font>
    <font>
      <sz val="13"/>
      <color rgb="FFFF0000"/>
      <name val="Calibri"/>
      <family val="2"/>
      <charset val="238"/>
    </font>
    <font>
      <b/>
      <sz val="13"/>
      <color rgb="FFFF0000"/>
      <name val="Calibri"/>
      <family val="2"/>
      <charset val="238"/>
    </font>
    <font>
      <i/>
      <sz val="13"/>
      <color rgb="FFFF0000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3"/>
      <name val="Calibri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6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58">
    <xf numFmtId="0" fontId="0" fillId="0" borderId="0"/>
    <xf numFmtId="43" fontId="2" fillId="0" borderId="0" applyFont="0" applyFill="0" applyBorder="0" applyAlignment="0" applyProtection="0"/>
    <xf numFmtId="0" fontId="32" fillId="2" borderId="54" applyNumberFormat="0" applyAlignment="0" applyProtection="0"/>
    <xf numFmtId="0" fontId="3" fillId="0" borderId="0"/>
    <xf numFmtId="0" fontId="5" fillId="0" borderId="0"/>
    <xf numFmtId="0" fontId="2" fillId="0" borderId="0"/>
    <xf numFmtId="0" fontId="9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2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2" borderId="0" applyNumberFormat="0" applyBorder="0" applyAlignment="0" applyProtection="0"/>
    <xf numFmtId="0" fontId="26" fillId="12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3" borderId="0" applyNumberFormat="0" applyBorder="0" applyAlignment="0" applyProtection="0"/>
    <xf numFmtId="0" fontId="26" fillId="16" borderId="0" applyNumberFormat="0" applyBorder="0" applyAlignment="0" applyProtection="0"/>
    <xf numFmtId="0" fontId="26" fillId="10" borderId="0" applyNumberFormat="0" applyBorder="0" applyAlignment="0" applyProtection="0"/>
    <xf numFmtId="0" fontId="34" fillId="17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10" borderId="0" applyNumberFormat="0" applyBorder="0" applyAlignment="0" applyProtection="0"/>
    <xf numFmtId="0" fontId="35" fillId="10" borderId="59" applyNumberFormat="0" applyAlignment="0" applyProtection="0"/>
    <xf numFmtId="0" fontId="36" fillId="0" borderId="0" applyNumberFormat="0" applyFill="0" applyBorder="0" applyAlignment="0" applyProtection="0"/>
    <xf numFmtId="0" fontId="37" fillId="0" borderId="60" applyNumberFormat="0" applyFill="0" applyAlignment="0" applyProtection="0"/>
    <xf numFmtId="0" fontId="38" fillId="0" borderId="61" applyNumberFormat="0" applyFill="0" applyAlignment="0" applyProtection="0"/>
    <xf numFmtId="0" fontId="39" fillId="0" borderId="62" applyNumberFormat="0" applyFill="0" applyAlignment="0" applyProtection="0"/>
    <xf numFmtId="0" fontId="39" fillId="0" borderId="0" applyNumberFormat="0" applyFill="0" applyBorder="0" applyAlignment="0" applyProtection="0"/>
    <xf numFmtId="0" fontId="40" fillId="18" borderId="63" applyNumberFormat="0" applyAlignment="0" applyProtection="0"/>
    <xf numFmtId="0" fontId="41" fillId="0" borderId="0" applyNumberFormat="0" applyFill="0" applyBorder="0" applyAlignment="0" applyProtection="0"/>
    <xf numFmtId="0" fontId="42" fillId="0" borderId="64" applyNumberFormat="0" applyFill="0" applyAlignment="0" applyProtection="0"/>
    <xf numFmtId="0" fontId="2" fillId="11" borderId="65" applyNumberFormat="0" applyFont="0" applyAlignment="0" applyProtection="0"/>
    <xf numFmtId="0" fontId="34" fillId="17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17" borderId="0" applyNumberFormat="0" applyBorder="0" applyAlignment="0" applyProtection="0"/>
    <xf numFmtId="0" fontId="34" fillId="22" borderId="0" applyNumberFormat="0" applyBorder="0" applyAlignment="0" applyProtection="0"/>
    <xf numFmtId="0" fontId="43" fillId="23" borderId="0" applyNumberFormat="0" applyBorder="0" applyAlignment="0" applyProtection="0"/>
    <xf numFmtId="0" fontId="44" fillId="2" borderId="66" applyNumberFormat="0" applyAlignment="0" applyProtection="0"/>
    <xf numFmtId="0" fontId="45" fillId="0" borderId="0" applyNumberFormat="0" applyFill="0" applyBorder="0" applyAlignment="0" applyProtection="0"/>
    <xf numFmtId="0" fontId="27" fillId="0" borderId="67" applyNumberFormat="0" applyFill="0" applyAlignment="0" applyProtection="0"/>
    <xf numFmtId="0" fontId="46" fillId="24" borderId="0" applyNumberFormat="0" applyBorder="0" applyAlignment="0" applyProtection="0"/>
    <xf numFmtId="0" fontId="47" fillId="15" borderId="0" applyNumberFormat="0" applyBorder="0" applyAlignment="0" applyProtection="0"/>
    <xf numFmtId="0" fontId="48" fillId="2" borderId="59" applyNumberFormat="0" applyAlignment="0" applyProtection="0"/>
    <xf numFmtId="0" fontId="49" fillId="26" borderId="0" applyNumberFormat="0" applyBorder="0" applyAlignment="0" applyProtection="0"/>
    <xf numFmtId="0" fontId="58" fillId="0" borderId="0"/>
    <xf numFmtId="0" fontId="136" fillId="28" borderId="0" applyNumberFormat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01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/>
    <xf numFmtId="49" fontId="15" fillId="0" borderId="0" xfId="0" applyNumberFormat="1" applyFont="1"/>
    <xf numFmtId="0" fontId="15" fillId="0" borderId="0" xfId="0" applyFont="1"/>
    <xf numFmtId="0" fontId="15" fillId="0" borderId="9" xfId="0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/>
    </xf>
    <xf numFmtId="0" fontId="20" fillId="0" borderId="0" xfId="0" applyFont="1"/>
    <xf numFmtId="0" fontId="17" fillId="0" borderId="0" xfId="0" applyFont="1"/>
    <xf numFmtId="0" fontId="22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0" fillId="6" borderId="9" xfId="0" applyFont="1" applyFill="1" applyBorder="1"/>
    <xf numFmtId="3" fontId="11" fillId="6" borderId="3" xfId="0" applyNumberFormat="1" applyFont="1" applyFill="1" applyBorder="1" applyAlignment="1">
      <alignment vertical="center"/>
    </xf>
    <xf numFmtId="0" fontId="8" fillId="6" borderId="9" xfId="0" applyFont="1" applyFill="1" applyBorder="1" applyAlignment="1">
      <alignment horizontal="left" vertical="center" wrapText="1"/>
    </xf>
    <xf numFmtId="2" fontId="8" fillId="6" borderId="3" xfId="0" applyNumberFormat="1" applyFont="1" applyFill="1" applyBorder="1" applyAlignment="1" applyProtection="1">
      <alignment horizontal="center" vertical="center"/>
    </xf>
    <xf numFmtId="2" fontId="8" fillId="6" borderId="20" xfId="0" applyNumberFormat="1" applyFont="1" applyFill="1" applyBorder="1" applyAlignment="1" applyProtection="1">
      <alignment horizontal="center" vertical="center"/>
    </xf>
    <xf numFmtId="2" fontId="10" fillId="6" borderId="3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2" fillId="0" borderId="9" xfId="0" applyFont="1" applyBorder="1" applyAlignment="1">
      <alignment vertical="center"/>
    </xf>
    <xf numFmtId="3" fontId="50" fillId="0" borderId="7" xfId="0" applyNumberFormat="1" applyFont="1" applyBorder="1" applyAlignment="1">
      <alignment horizontal="center"/>
    </xf>
    <xf numFmtId="0" fontId="50" fillId="0" borderId="9" xfId="0" applyFont="1" applyBorder="1" applyAlignment="1">
      <alignment horizontal="center"/>
    </xf>
    <xf numFmtId="3" fontId="50" fillId="0" borderId="9" xfId="0" applyNumberFormat="1" applyFont="1" applyBorder="1" applyAlignment="1">
      <alignment horizontal="center"/>
    </xf>
    <xf numFmtId="0" fontId="50" fillId="0" borderId="33" xfId="0" applyFont="1" applyBorder="1" applyAlignment="1">
      <alignment horizontal="left" wrapText="1"/>
    </xf>
    <xf numFmtId="3" fontId="50" fillId="0" borderId="9" xfId="0" applyNumberFormat="1" applyFont="1" applyBorder="1" applyAlignment="1">
      <alignment horizontal="center" wrapText="1"/>
    </xf>
    <xf numFmtId="3" fontId="50" fillId="0" borderId="18" xfId="0" applyNumberFormat="1" applyFont="1" applyBorder="1" applyAlignment="1">
      <alignment horizontal="center"/>
    </xf>
    <xf numFmtId="49" fontId="25" fillId="0" borderId="33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52" fillId="0" borderId="0" xfId="4" applyNumberFormat="1" applyFont="1" applyBorder="1" applyAlignment="1">
      <alignment horizontal="center" vertical="center"/>
    </xf>
    <xf numFmtId="0" fontId="53" fillId="0" borderId="0" xfId="4" applyFont="1" applyBorder="1"/>
    <xf numFmtId="0" fontId="53" fillId="0" borderId="0" xfId="4" applyFont="1"/>
    <xf numFmtId="0" fontId="53" fillId="0" borderId="0" xfId="4" applyFont="1" applyAlignment="1">
      <alignment vertical="center"/>
    </xf>
    <xf numFmtId="0" fontId="54" fillId="0" borderId="0" xfId="4" applyFont="1" applyAlignment="1">
      <alignment vertical="center"/>
    </xf>
    <xf numFmtId="0" fontId="53" fillId="0" borderId="0" xfId="4" applyFont="1" applyFill="1" applyAlignment="1">
      <alignment vertical="center"/>
    </xf>
    <xf numFmtId="0" fontId="53" fillId="0" borderId="0" xfId="4" applyFont="1" applyFill="1" applyAlignment="1">
      <alignment vertical="center" wrapText="1"/>
    </xf>
    <xf numFmtId="0" fontId="52" fillId="3" borderId="0" xfId="4" applyFont="1" applyFill="1" applyAlignment="1">
      <alignment vertical="center"/>
    </xf>
    <xf numFmtId="0" fontId="53" fillId="0" borderId="0" xfId="4" applyNumberFormat="1" applyFont="1" applyFill="1" applyAlignment="1">
      <alignment vertical="center" wrapText="1"/>
    </xf>
    <xf numFmtId="41" fontId="53" fillId="0" borderId="0" xfId="4" applyNumberFormat="1" applyFont="1" applyFill="1" applyAlignment="1">
      <alignment horizontal="right" indent="1"/>
    </xf>
    <xf numFmtId="0" fontId="53" fillId="3" borderId="0" xfId="4" applyFont="1" applyFill="1"/>
    <xf numFmtId="0" fontId="52" fillId="0" borderId="0" xfId="4" applyFont="1" applyAlignment="1">
      <alignment horizontal="left" indent="1"/>
    </xf>
    <xf numFmtId="3" fontId="52" fillId="0" borderId="0" xfId="4" applyNumberFormat="1" applyFont="1"/>
    <xf numFmtId="0" fontId="53" fillId="0" borderId="0" xfId="4" applyFont="1" applyAlignment="1">
      <alignment horizontal="left" indent="1"/>
    </xf>
    <xf numFmtId="3" fontId="53" fillId="0" borderId="0" xfId="4" applyNumberFormat="1" applyFont="1"/>
    <xf numFmtId="0" fontId="52" fillId="0" borderId="0" xfId="4" applyFont="1"/>
    <xf numFmtId="3" fontId="50" fillId="0" borderId="15" xfId="0" applyNumberFormat="1" applyFont="1" applyBorder="1" applyAlignment="1">
      <alignment horizontal="center"/>
    </xf>
    <xf numFmtId="3" fontId="28" fillId="0" borderId="15" xfId="0" applyNumberFormat="1" applyFont="1" applyBorder="1" applyAlignment="1">
      <alignment horizontal="center"/>
    </xf>
    <xf numFmtId="3" fontId="52" fillId="0" borderId="0" xfId="4" applyNumberFormat="1" applyFont="1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>
      <alignment vertical="justify"/>
    </xf>
    <xf numFmtId="49" fontId="23" fillId="0" borderId="33" xfId="0" applyNumberFormat="1" applyFont="1" applyBorder="1" applyAlignment="1">
      <alignment horizontal="center" vertical="center"/>
    </xf>
    <xf numFmtId="0" fontId="22" fillId="0" borderId="9" xfId="0" applyFont="1" applyBorder="1" applyAlignment="1">
      <alignment horizontal="left" vertical="center" wrapText="1"/>
    </xf>
    <xf numFmtId="0" fontId="25" fillId="0" borderId="0" xfId="0" applyFont="1"/>
    <xf numFmtId="0" fontId="23" fillId="0" borderId="0" xfId="0" applyFont="1"/>
    <xf numFmtId="0" fontId="24" fillId="0" borderId="0" xfId="0" applyFont="1"/>
    <xf numFmtId="0" fontId="20" fillId="6" borderId="0" xfId="0" applyFont="1" applyFill="1" applyAlignment="1">
      <alignment horizontal="right"/>
    </xf>
    <xf numFmtId="0" fontId="20" fillId="0" borderId="0" xfId="0" applyFont="1" applyFill="1"/>
    <xf numFmtId="0" fontId="22" fillId="0" borderId="0" xfId="0" applyFont="1" applyFill="1"/>
    <xf numFmtId="0" fontId="23" fillId="0" borderId="0" xfId="0" applyFont="1" applyFill="1"/>
    <xf numFmtId="0" fontId="25" fillId="0" borderId="0" xfId="0" applyFont="1" applyFill="1"/>
    <xf numFmtId="0" fontId="55" fillId="0" borderId="9" xfId="0" applyFont="1" applyBorder="1" applyAlignment="1">
      <alignment vertical="center"/>
    </xf>
    <xf numFmtId="0" fontId="55" fillId="0" borderId="0" xfId="0" applyFont="1"/>
    <xf numFmtId="41" fontId="53" fillId="0" borderId="0" xfId="4" applyNumberFormat="1" applyFont="1"/>
    <xf numFmtId="0" fontId="50" fillId="0" borderId="5" xfId="0" applyFont="1" applyBorder="1" applyAlignment="1">
      <alignment horizontal="left" wrapText="1"/>
    </xf>
    <xf numFmtId="0" fontId="50" fillId="0" borderId="24" xfId="0" applyFont="1" applyBorder="1" applyAlignment="1">
      <alignment horizontal="left" wrapText="1"/>
    </xf>
    <xf numFmtId="0" fontId="50" fillId="0" borderId="1" xfId="0" applyFont="1" applyBorder="1" applyAlignment="1">
      <alignment horizontal="left" wrapText="1"/>
    </xf>
    <xf numFmtId="0" fontId="28" fillId="0" borderId="24" xfId="0" applyFont="1" applyBorder="1" applyAlignment="1">
      <alignment horizontal="left" wrapText="1"/>
    </xf>
    <xf numFmtId="0" fontId="50" fillId="0" borderId="31" xfId="0" applyFont="1" applyBorder="1" applyAlignment="1">
      <alignment horizontal="left" wrapText="1"/>
    </xf>
    <xf numFmtId="0" fontId="50" fillId="0" borderId="9" xfId="0" applyFont="1" applyBorder="1" applyAlignment="1">
      <alignment horizontal="left" wrapText="1"/>
    </xf>
    <xf numFmtId="49" fontId="15" fillId="0" borderId="9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8" fillId="0" borderId="9" xfId="0" applyFont="1" applyFill="1" applyBorder="1" applyAlignment="1">
      <alignment vertical="center" wrapText="1"/>
    </xf>
    <xf numFmtId="49" fontId="15" fillId="0" borderId="18" xfId="0" applyNumberFormat="1" applyFont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left" vertical="center" wrapText="1"/>
    </xf>
    <xf numFmtId="0" fontId="20" fillId="6" borderId="0" xfId="0" applyFont="1" applyFill="1" applyAlignment="1">
      <alignment horizontal="right" vertical="center"/>
    </xf>
    <xf numFmtId="49" fontId="20" fillId="0" borderId="0" xfId="0" applyNumberFormat="1" applyFont="1" applyAlignment="1">
      <alignment horizontal="center" vertical="center"/>
    </xf>
    <xf numFmtId="0" fontId="24" fillId="0" borderId="0" xfId="0" applyFont="1" applyFill="1"/>
    <xf numFmtId="0" fontId="25" fillId="0" borderId="9" xfId="0" applyFont="1" applyBorder="1" applyAlignment="1">
      <alignment horizontal="left" vertical="center" wrapText="1"/>
    </xf>
    <xf numFmtId="0" fontId="21" fillId="0" borderId="0" xfId="0" applyFont="1"/>
    <xf numFmtId="49" fontId="23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 wrapText="1"/>
    </xf>
    <xf numFmtId="49" fontId="25" fillId="0" borderId="5" xfId="0" applyNumberFormat="1" applyFont="1" applyBorder="1" applyAlignment="1">
      <alignment horizontal="center" vertical="center"/>
    </xf>
    <xf numFmtId="0" fontId="12" fillId="0" borderId="47" xfId="0" applyFont="1" applyBorder="1" applyAlignment="1">
      <alignment vertical="center"/>
    </xf>
    <xf numFmtId="49" fontId="23" fillId="0" borderId="24" xfId="0" applyNumberFormat="1" applyFont="1" applyBorder="1" applyAlignment="1">
      <alignment horizontal="center" vertical="center"/>
    </xf>
    <xf numFmtId="0" fontId="23" fillId="0" borderId="15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49" fontId="21" fillId="0" borderId="69" xfId="0" applyNumberFormat="1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55" fillId="0" borderId="9" xfId="0" applyFont="1" applyFill="1" applyBorder="1" applyAlignment="1">
      <alignment horizontal="left" vertical="center" wrapText="1"/>
    </xf>
    <xf numFmtId="0" fontId="55" fillId="0" borderId="0" xfId="0" applyFont="1" applyAlignment="1">
      <alignment vertical="center"/>
    </xf>
    <xf numFmtId="49" fontId="21" fillId="9" borderId="24" xfId="0" applyNumberFormat="1" applyFont="1" applyFill="1" applyBorder="1" applyAlignment="1">
      <alignment horizontal="center" vertical="center" wrapText="1"/>
    </xf>
    <xf numFmtId="49" fontId="21" fillId="9" borderId="24" xfId="0" applyNumberFormat="1" applyFont="1" applyFill="1" applyBorder="1" applyAlignment="1">
      <alignment horizontal="center" vertical="center"/>
    </xf>
    <xf numFmtId="49" fontId="23" fillId="9" borderId="24" xfId="0" applyNumberFormat="1" applyFont="1" applyFill="1" applyBorder="1" applyAlignment="1">
      <alignment horizontal="center" vertical="center" wrapText="1"/>
    </xf>
    <xf numFmtId="49" fontId="23" fillId="9" borderId="51" xfId="0" applyNumberFormat="1" applyFont="1" applyFill="1" applyBorder="1" applyAlignment="1">
      <alignment horizontal="center" vertical="center" wrapText="1"/>
    </xf>
    <xf numFmtId="0" fontId="30" fillId="9" borderId="15" xfId="0" applyFont="1" applyFill="1" applyBorder="1" applyAlignment="1">
      <alignment vertical="center"/>
    </xf>
    <xf numFmtId="0" fontId="55" fillId="0" borderId="7" xfId="0" applyFont="1" applyBorder="1" applyAlignment="1">
      <alignment vertical="center"/>
    </xf>
    <xf numFmtId="0" fontId="55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68" fillId="0" borderId="0" xfId="0" applyFont="1" applyAlignment="1">
      <alignment horizontal="center" vertical="center"/>
    </xf>
    <xf numFmtId="3" fontId="66" fillId="0" borderId="0" xfId="0" applyNumberFormat="1" applyFont="1" applyBorder="1" applyAlignment="1">
      <alignment horizontal="right" vertical="center" indent="1"/>
    </xf>
    <xf numFmtId="0" fontId="67" fillId="0" borderId="0" xfId="0" applyFont="1"/>
    <xf numFmtId="0" fontId="66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68" fillId="0" borderId="0" xfId="0" applyFont="1" applyFill="1"/>
    <xf numFmtId="3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30" fillId="0" borderId="1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65" fillId="0" borderId="9" xfId="6" applyFont="1" applyBorder="1" applyAlignment="1">
      <alignment vertical="center" wrapText="1"/>
    </xf>
    <xf numFmtId="0" fontId="30" fillId="0" borderId="24" xfId="6" applyFont="1" applyBorder="1" applyAlignment="1">
      <alignment horizontal="center" vertical="center"/>
    </xf>
    <xf numFmtId="0" fontId="30" fillId="0" borderId="15" xfId="6" applyFont="1" applyBorder="1" applyAlignment="1">
      <alignment horizontal="center" vertical="center" wrapText="1"/>
    </xf>
    <xf numFmtId="0" fontId="55" fillId="0" borderId="0" xfId="6" applyFont="1" applyBorder="1" applyAlignment="1">
      <alignment vertical="center"/>
    </xf>
    <xf numFmtId="3" fontId="30" fillId="0" borderId="15" xfId="1" applyNumberFormat="1" applyFont="1" applyBorder="1" applyAlignment="1">
      <alignment horizontal="center" vertical="center" wrapText="1"/>
    </xf>
    <xf numFmtId="3" fontId="64" fillId="0" borderId="15" xfId="0" applyNumberFormat="1" applyFont="1" applyBorder="1" applyAlignment="1">
      <alignment horizontal="center" vertical="center" wrapText="1"/>
    </xf>
    <xf numFmtId="3" fontId="64" fillId="0" borderId="22" xfId="0" applyNumberFormat="1" applyFont="1" applyBorder="1" applyAlignment="1">
      <alignment horizontal="center" vertical="center" wrapText="1"/>
    </xf>
    <xf numFmtId="0" fontId="30" fillId="0" borderId="0" xfId="6" applyFont="1" applyBorder="1" applyAlignment="1">
      <alignment horizontal="center" vertical="center"/>
    </xf>
    <xf numFmtId="0" fontId="55" fillId="0" borderId="0" xfId="6" applyFont="1" applyFill="1" applyBorder="1" applyAlignment="1">
      <alignment vertical="center"/>
    </xf>
    <xf numFmtId="0" fontId="30" fillId="0" borderId="0" xfId="0" applyFont="1" applyAlignment="1">
      <alignment vertical="center" wrapText="1"/>
    </xf>
    <xf numFmtId="3" fontId="30" fillId="0" borderId="0" xfId="1" applyNumberFormat="1" applyFont="1" applyAlignment="1">
      <alignment horizontal="center" vertical="center"/>
    </xf>
    <xf numFmtId="3" fontId="30" fillId="0" borderId="0" xfId="0" applyNumberFormat="1" applyFont="1" applyAlignment="1">
      <alignment vertical="center"/>
    </xf>
    <xf numFmtId="164" fontId="30" fillId="0" borderId="0" xfId="1" applyNumberFormat="1" applyFont="1" applyAlignment="1">
      <alignment horizontal="center" vertical="center"/>
    </xf>
    <xf numFmtId="3" fontId="55" fillId="0" borderId="0" xfId="1" applyNumberFormat="1" applyFont="1" applyAlignment="1">
      <alignment horizontal="center" vertical="center"/>
    </xf>
    <xf numFmtId="3" fontId="55" fillId="0" borderId="0" xfId="0" applyNumberFormat="1" applyFont="1" applyAlignment="1">
      <alignment vertical="center"/>
    </xf>
    <xf numFmtId="0" fontId="55" fillId="0" borderId="0" xfId="0" applyFont="1" applyAlignment="1">
      <alignment vertical="center" wrapText="1"/>
    </xf>
    <xf numFmtId="0" fontId="30" fillId="0" borderId="0" xfId="0" applyNumberFormat="1" applyFont="1" applyAlignment="1">
      <alignment vertical="center" wrapText="1"/>
    </xf>
    <xf numFmtId="0" fontId="55" fillId="0" borderId="33" xfId="0" applyFont="1" applyBorder="1" applyAlignment="1">
      <alignment horizontal="center" vertical="center"/>
    </xf>
    <xf numFmtId="0" fontId="70" fillId="0" borderId="0" xfId="0" applyFont="1" applyAlignment="1">
      <alignment vertical="center"/>
    </xf>
    <xf numFmtId="0" fontId="30" fillId="0" borderId="15" xfId="0" applyFont="1" applyFill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0" fontId="55" fillId="0" borderId="33" xfId="0" applyFont="1" applyFill="1" applyBorder="1" applyAlignment="1">
      <alignment horizontal="center" vertical="center"/>
    </xf>
    <xf numFmtId="164" fontId="55" fillId="0" borderId="9" xfId="1" applyNumberFormat="1" applyFont="1" applyBorder="1" applyAlignment="1">
      <alignment vertical="center"/>
    </xf>
    <xf numFmtId="3" fontId="55" fillId="0" borderId="18" xfId="0" applyNumberFormat="1" applyFont="1" applyBorder="1" applyAlignment="1">
      <alignment vertical="center"/>
    </xf>
    <xf numFmtId="3" fontId="55" fillId="0" borderId="7" xfId="0" applyNumberFormat="1" applyFont="1" applyBorder="1" applyAlignment="1">
      <alignment horizontal="right" vertical="center"/>
    </xf>
    <xf numFmtId="3" fontId="55" fillId="0" borderId="9" xfId="0" applyNumberFormat="1" applyFont="1" applyBorder="1" applyAlignment="1">
      <alignment horizontal="right" vertical="center" indent="1"/>
    </xf>
    <xf numFmtId="3" fontId="55" fillId="0" borderId="3" xfId="0" applyNumberFormat="1" applyFont="1" applyBorder="1" applyAlignment="1">
      <alignment horizontal="right" vertical="center" indent="1"/>
    </xf>
    <xf numFmtId="3" fontId="55" fillId="0" borderId="18" xfId="0" applyNumberFormat="1" applyFont="1" applyBorder="1" applyAlignment="1">
      <alignment horizontal="right" vertical="center" indent="1"/>
    </xf>
    <xf numFmtId="3" fontId="55" fillId="0" borderId="46" xfId="0" applyNumberFormat="1" applyFont="1" applyBorder="1" applyAlignment="1">
      <alignment horizontal="right" vertical="center" indent="1"/>
    </xf>
    <xf numFmtId="3" fontId="55" fillId="0" borderId="7" xfId="0" applyNumberFormat="1" applyFont="1" applyBorder="1" applyAlignment="1">
      <alignment horizontal="right" vertical="center" indent="1"/>
    </xf>
    <xf numFmtId="3" fontId="55" fillId="0" borderId="8" xfId="0" applyNumberFormat="1" applyFont="1" applyBorder="1" applyAlignment="1">
      <alignment horizontal="right" vertical="center" indent="1"/>
    </xf>
    <xf numFmtId="3" fontId="30" fillId="9" borderId="15" xfId="0" applyNumberFormat="1" applyFont="1" applyFill="1" applyBorder="1" applyAlignment="1">
      <alignment horizontal="right" vertical="center" indent="1"/>
    </xf>
    <xf numFmtId="0" fontId="55" fillId="0" borderId="0" xfId="0" applyFont="1" applyBorder="1" applyAlignment="1">
      <alignment vertical="center"/>
    </xf>
    <xf numFmtId="3" fontId="30" fillId="9" borderId="22" xfId="0" applyNumberFormat="1" applyFont="1" applyFill="1" applyBorder="1" applyAlignment="1">
      <alignment horizontal="right" vertical="center" indent="1"/>
    </xf>
    <xf numFmtId="0" fontId="55" fillId="0" borderId="7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55" fillId="0" borderId="0" xfId="0" applyFont="1" applyBorder="1" applyAlignment="1">
      <alignment vertical="center" wrapText="1"/>
    </xf>
    <xf numFmtId="0" fontId="55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55" fillId="0" borderId="9" xfId="0" applyNumberFormat="1" applyFont="1" applyBorder="1" applyAlignment="1">
      <alignment horizontal="right" vertical="center"/>
    </xf>
    <xf numFmtId="0" fontId="56" fillId="0" borderId="18" xfId="0" applyFont="1" applyBorder="1" applyAlignment="1">
      <alignment vertical="center"/>
    </xf>
    <xf numFmtId="3" fontId="55" fillId="0" borderId="18" xfId="0" applyNumberFormat="1" applyFont="1" applyBorder="1" applyAlignment="1">
      <alignment horizontal="right" vertical="center"/>
    </xf>
    <xf numFmtId="3" fontId="30" fillId="0" borderId="15" xfId="0" applyNumberFormat="1" applyFont="1" applyBorder="1" applyAlignment="1">
      <alignment horizontal="right" vertical="center"/>
    </xf>
    <xf numFmtId="0" fontId="55" fillId="0" borderId="47" xfId="0" applyFont="1" applyBorder="1" applyAlignment="1">
      <alignment vertical="center"/>
    </xf>
    <xf numFmtId="0" fontId="55" fillId="0" borderId="35" xfId="0" applyFont="1" applyBorder="1" applyAlignment="1">
      <alignment horizontal="center" vertical="center"/>
    </xf>
    <xf numFmtId="3" fontId="55" fillId="0" borderId="3" xfId="0" applyNumberFormat="1" applyFont="1" applyBorder="1" applyAlignment="1">
      <alignment horizontal="right" vertical="center"/>
    </xf>
    <xf numFmtId="0" fontId="55" fillId="0" borderId="5" xfId="0" applyFont="1" applyBorder="1" applyAlignment="1">
      <alignment horizontal="center" vertical="center"/>
    </xf>
    <xf numFmtId="3" fontId="30" fillId="0" borderId="22" xfId="0" applyNumberFormat="1" applyFont="1" applyBorder="1" applyAlignment="1">
      <alignment horizontal="right" vertical="center"/>
    </xf>
    <xf numFmtId="0" fontId="55" fillId="0" borderId="4" xfId="0" applyFont="1" applyBorder="1" applyAlignment="1">
      <alignment horizontal="center" vertical="center"/>
    </xf>
    <xf numFmtId="0" fontId="55" fillId="0" borderId="0" xfId="0" applyFont="1" applyBorder="1" applyAlignment="1">
      <alignment horizontal="left" vertical="center"/>
    </xf>
    <xf numFmtId="3" fontId="55" fillId="0" borderId="46" xfId="0" applyNumberFormat="1" applyFont="1" applyBorder="1" applyAlignment="1">
      <alignment horizontal="right" vertical="center"/>
    </xf>
    <xf numFmtId="3" fontId="55" fillId="0" borderId="8" xfId="0" applyNumberFormat="1" applyFont="1" applyBorder="1" applyAlignment="1">
      <alignment horizontal="right" vertical="center"/>
    </xf>
    <xf numFmtId="0" fontId="57" fillId="0" borderId="0" xfId="0" applyFont="1" applyAlignment="1">
      <alignment vertical="center"/>
    </xf>
    <xf numFmtId="0" fontId="57" fillId="0" borderId="0" xfId="0" applyFont="1" applyBorder="1" applyAlignment="1">
      <alignment vertical="center"/>
    </xf>
    <xf numFmtId="0" fontId="55" fillId="0" borderId="24" xfId="0" applyFont="1" applyBorder="1" applyAlignment="1">
      <alignment vertical="center" wrapText="1"/>
    </xf>
    <xf numFmtId="3" fontId="55" fillId="0" borderId="38" xfId="0" applyNumberFormat="1" applyFont="1" applyBorder="1" applyAlignment="1">
      <alignment horizontal="right" vertical="center" indent="1"/>
    </xf>
    <xf numFmtId="3" fontId="56" fillId="0" borderId="18" xfId="0" applyNumberFormat="1" applyFont="1" applyBorder="1" applyAlignment="1">
      <alignment horizontal="right" vertical="center" indent="1"/>
    </xf>
    <xf numFmtId="3" fontId="55" fillId="0" borderId="68" xfId="0" applyNumberFormat="1" applyFont="1" applyBorder="1" applyAlignment="1">
      <alignment horizontal="right" vertical="center" indent="1"/>
    </xf>
    <xf numFmtId="3" fontId="55" fillId="0" borderId="47" xfId="0" applyNumberFormat="1" applyFont="1" applyBorder="1" applyAlignment="1">
      <alignment horizontal="right" vertical="center" indent="1"/>
    </xf>
    <xf numFmtId="3" fontId="56" fillId="0" borderId="46" xfId="0" applyNumberFormat="1" applyFont="1" applyBorder="1" applyAlignment="1">
      <alignment horizontal="right" vertical="center" indent="1"/>
    </xf>
    <xf numFmtId="3" fontId="55" fillId="0" borderId="11" xfId="0" applyNumberFormat="1" applyFont="1" applyBorder="1" applyAlignment="1">
      <alignment horizontal="right" vertical="center" indent="1"/>
    </xf>
    <xf numFmtId="0" fontId="56" fillId="0" borderId="20" xfId="0" applyFont="1" applyBorder="1" applyAlignment="1">
      <alignment vertical="center"/>
    </xf>
    <xf numFmtId="3" fontId="56" fillId="0" borderId="20" xfId="0" applyNumberFormat="1" applyFont="1" applyBorder="1" applyAlignment="1">
      <alignment horizontal="right" vertical="center" indent="1"/>
    </xf>
    <xf numFmtId="3" fontId="71" fillId="0" borderId="20" xfId="0" applyNumberFormat="1" applyFont="1" applyBorder="1" applyAlignment="1">
      <alignment horizontal="right" vertical="center" indent="1"/>
    </xf>
    <xf numFmtId="3" fontId="55" fillId="0" borderId="20" xfId="0" applyNumberFormat="1" applyFont="1" applyBorder="1" applyAlignment="1">
      <alignment horizontal="right" vertical="center" indent="1"/>
    </xf>
    <xf numFmtId="3" fontId="55" fillId="0" borderId="83" xfId="0" applyNumberFormat="1" applyFont="1" applyBorder="1" applyAlignment="1">
      <alignment horizontal="right" vertical="center" indent="1"/>
    </xf>
    <xf numFmtId="0" fontId="55" fillId="0" borderId="45" xfId="0" applyFont="1" applyBorder="1" applyAlignment="1">
      <alignment horizontal="center" vertical="center"/>
    </xf>
    <xf numFmtId="0" fontId="55" fillId="0" borderId="16" xfId="0" applyFont="1" applyBorder="1" applyAlignment="1">
      <alignment vertical="center"/>
    </xf>
    <xf numFmtId="3" fontId="55" fillId="0" borderId="16" xfId="0" applyNumberFormat="1" applyFont="1" applyBorder="1" applyAlignment="1">
      <alignment horizontal="right" vertical="center" indent="1"/>
    </xf>
    <xf numFmtId="3" fontId="55" fillId="0" borderId="39" xfId="0" applyNumberFormat="1" applyFont="1" applyBorder="1" applyAlignment="1">
      <alignment horizontal="right" vertical="center" indent="1"/>
    </xf>
    <xf numFmtId="0" fontId="55" fillId="0" borderId="52" xfId="0" applyFont="1" applyBorder="1" applyAlignment="1">
      <alignment vertical="center"/>
    </xf>
    <xf numFmtId="3" fontId="55" fillId="0" borderId="52" xfId="0" applyNumberFormat="1" applyFont="1" applyBorder="1" applyAlignment="1">
      <alignment horizontal="right" vertical="center" indent="1"/>
    </xf>
    <xf numFmtId="0" fontId="30" fillId="0" borderId="34" xfId="0" applyFont="1" applyFill="1" applyBorder="1" applyAlignment="1">
      <alignment horizontal="center" vertical="center" wrapText="1"/>
    </xf>
    <xf numFmtId="0" fontId="55" fillId="9" borderId="24" xfId="0" applyFont="1" applyFill="1" applyBorder="1" applyAlignment="1">
      <alignment horizontal="center" vertical="center"/>
    </xf>
    <xf numFmtId="3" fontId="30" fillId="9" borderId="34" xfId="0" applyNumberFormat="1" applyFont="1" applyFill="1" applyBorder="1" applyAlignment="1">
      <alignment horizontal="right" vertical="center" indent="1"/>
    </xf>
    <xf numFmtId="0" fontId="30" fillId="9" borderId="24" xfId="0" applyFont="1" applyFill="1" applyBorder="1" applyAlignment="1">
      <alignment horizontal="center" vertical="center"/>
    </xf>
    <xf numFmtId="0" fontId="30" fillId="0" borderId="0" xfId="0" applyFont="1"/>
    <xf numFmtId="0" fontId="30" fillId="0" borderId="0" xfId="0" applyFont="1" applyBorder="1" applyAlignment="1">
      <alignment vertical="justify"/>
    </xf>
    <xf numFmtId="3" fontId="55" fillId="0" borderId="0" xfId="0" applyNumberFormat="1" applyFont="1" applyBorder="1" applyAlignment="1">
      <alignment horizontal="center" vertical="justify"/>
    </xf>
    <xf numFmtId="0" fontId="55" fillId="0" borderId="0" xfId="0" applyFont="1" applyBorder="1" applyAlignment="1">
      <alignment vertical="justify"/>
    </xf>
    <xf numFmtId="3" fontId="30" fillId="0" borderId="0" xfId="0" applyNumberFormat="1" applyFont="1" applyBorder="1" applyAlignment="1">
      <alignment horizontal="center" vertical="justify"/>
    </xf>
    <xf numFmtId="0" fontId="55" fillId="0" borderId="0" xfId="0" applyFont="1" applyAlignment="1">
      <alignment vertical="justify"/>
    </xf>
    <xf numFmtId="0" fontId="55" fillId="0" borderId="0" xfId="0" applyFont="1" applyFill="1" applyBorder="1" applyAlignment="1">
      <alignment vertical="justify"/>
    </xf>
    <xf numFmtId="3" fontId="55" fillId="0" borderId="0" xfId="0" applyNumberFormat="1" applyFont="1" applyAlignment="1">
      <alignment horizontal="center"/>
    </xf>
    <xf numFmtId="41" fontId="55" fillId="0" borderId="0" xfId="0" applyNumberFormat="1" applyFont="1" applyAlignment="1">
      <alignment vertical="center"/>
    </xf>
    <xf numFmtId="3" fontId="65" fillId="6" borderId="0" xfId="0" applyNumberFormat="1" applyFont="1" applyFill="1"/>
    <xf numFmtId="3" fontId="8" fillId="6" borderId="0" xfId="0" applyNumberFormat="1" applyFont="1" applyFill="1" applyAlignment="1" applyProtection="1">
      <alignment vertical="center"/>
    </xf>
    <xf numFmtId="3" fontId="65" fillId="6" borderId="0" xfId="0" applyNumberFormat="1" applyFont="1" applyFill="1" applyAlignment="1">
      <alignment vertical="center"/>
    </xf>
    <xf numFmtId="3" fontId="65" fillId="6" borderId="0" xfId="0" applyNumberFormat="1" applyFont="1" applyFill="1" applyAlignment="1">
      <alignment horizontal="center"/>
    </xf>
    <xf numFmtId="3" fontId="65" fillId="6" borderId="0" xfId="0" applyNumberFormat="1" applyFont="1" applyFill="1" applyAlignment="1"/>
    <xf numFmtId="0" fontId="12" fillId="6" borderId="9" xfId="0" applyFont="1" applyFill="1" applyBorder="1" applyAlignment="1">
      <alignment horizontal="left" vertical="center" wrapText="1" indent="2"/>
    </xf>
    <xf numFmtId="170" fontId="12" fillId="0" borderId="3" xfId="0" applyNumberFormat="1" applyFont="1" applyBorder="1" applyAlignment="1">
      <alignment horizontal="center" vertical="center"/>
    </xf>
    <xf numFmtId="3" fontId="13" fillId="6" borderId="0" xfId="0" applyNumberFormat="1" applyFont="1" applyFill="1" applyAlignment="1">
      <alignment vertical="center"/>
    </xf>
    <xf numFmtId="2" fontId="12" fillId="6" borderId="3" xfId="0" applyNumberFormat="1" applyFont="1" applyFill="1" applyBorder="1" applyAlignment="1" applyProtection="1">
      <alignment horizontal="center" vertical="center"/>
    </xf>
    <xf numFmtId="3" fontId="71" fillId="6" borderId="0" xfId="0" applyNumberFormat="1" applyFont="1" applyFill="1" applyAlignment="1">
      <alignment vertical="center"/>
    </xf>
    <xf numFmtId="4" fontId="12" fillId="6" borderId="9" xfId="0" applyNumberFormat="1" applyFont="1" applyFill="1" applyBorder="1" applyAlignment="1" applyProtection="1">
      <alignment horizontal="right" vertical="center" indent="3"/>
    </xf>
    <xf numFmtId="4" fontId="8" fillId="6" borderId="9" xfId="0" applyNumberFormat="1" applyFont="1" applyFill="1" applyBorder="1" applyAlignment="1" applyProtection="1">
      <alignment horizontal="right" vertical="center" indent="3"/>
    </xf>
    <xf numFmtId="0" fontId="55" fillId="0" borderId="0" xfId="6" applyFont="1" applyBorder="1" applyAlignment="1">
      <alignment horizontal="center" vertical="center"/>
    </xf>
    <xf numFmtId="0" fontId="76" fillId="0" borderId="20" xfId="6" applyFont="1" applyBorder="1" applyAlignment="1">
      <alignment horizontal="center" vertical="center" wrapText="1"/>
    </xf>
    <xf numFmtId="0" fontId="64" fillId="0" borderId="36" xfId="6" applyFont="1" applyBorder="1" applyAlignment="1">
      <alignment horizontal="center" vertical="center"/>
    </xf>
    <xf numFmtId="0" fontId="64" fillId="0" borderId="37" xfId="6" applyFont="1" applyBorder="1" applyAlignment="1">
      <alignment vertical="center" wrapText="1"/>
    </xf>
    <xf numFmtId="0" fontId="30" fillId="0" borderId="0" xfId="6" applyFont="1" applyAlignment="1">
      <alignment vertical="center"/>
    </xf>
    <xf numFmtId="3" fontId="65" fillId="0" borderId="33" xfId="6" applyNumberFormat="1" applyFont="1" applyBorder="1" applyAlignment="1">
      <alignment horizontal="center" vertical="center"/>
    </xf>
    <xf numFmtId="41" fontId="65" fillId="25" borderId="9" xfId="6" applyNumberFormat="1" applyFont="1" applyFill="1" applyBorder="1" applyAlignment="1">
      <alignment horizontal="right" vertical="center" indent="1"/>
    </xf>
    <xf numFmtId="41" fontId="65" fillId="25" borderId="9" xfId="1" applyNumberFormat="1" applyFont="1" applyFill="1" applyBorder="1" applyAlignment="1">
      <alignment horizontal="right" vertical="center" indent="1"/>
    </xf>
    <xf numFmtId="0" fontId="55" fillId="0" borderId="3" xfId="6" applyFont="1" applyBorder="1" applyAlignment="1">
      <alignment vertical="center"/>
    </xf>
    <xf numFmtId="0" fontId="55" fillId="0" borderId="0" xfId="6" applyFont="1" applyAlignment="1">
      <alignment vertical="center"/>
    </xf>
    <xf numFmtId="0" fontId="55" fillId="0" borderId="0" xfId="6" applyFont="1" applyFill="1" applyAlignment="1">
      <alignment vertical="center"/>
    </xf>
    <xf numFmtId="164" fontId="55" fillId="0" borderId="0" xfId="0" applyNumberFormat="1" applyFont="1" applyAlignment="1">
      <alignment vertical="center"/>
    </xf>
    <xf numFmtId="3" fontId="55" fillId="0" borderId="0" xfId="0" applyNumberFormat="1" applyFont="1" applyAlignment="1">
      <alignment vertical="center" wrapText="1"/>
    </xf>
    <xf numFmtId="165" fontId="55" fillId="0" borderId="0" xfId="8" applyNumberFormat="1" applyFont="1" applyAlignment="1">
      <alignment vertical="center"/>
    </xf>
    <xf numFmtId="164" fontId="30" fillId="0" borderId="0" xfId="0" applyNumberFormat="1" applyFont="1" applyAlignment="1">
      <alignment vertical="center"/>
    </xf>
    <xf numFmtId="0" fontId="76" fillId="0" borderId="9" xfId="6" applyFont="1" applyBorder="1" applyAlignment="1">
      <alignment horizontal="center" vertical="center" wrapText="1"/>
    </xf>
    <xf numFmtId="41" fontId="65" fillId="0" borderId="9" xfId="6" applyNumberFormat="1" applyFont="1" applyBorder="1" applyAlignment="1">
      <alignment horizontal="right" vertical="center" indent="1"/>
    </xf>
    <xf numFmtId="41" fontId="71" fillId="0" borderId="9" xfId="6" applyNumberFormat="1" applyFont="1" applyBorder="1" applyAlignment="1">
      <alignment horizontal="right" vertical="center" indent="1"/>
    </xf>
    <xf numFmtId="41" fontId="65" fillId="0" borderId="9" xfId="1" applyNumberFormat="1" applyFont="1" applyBorder="1" applyAlignment="1">
      <alignment horizontal="right" vertical="center" indent="1"/>
    </xf>
    <xf numFmtId="164" fontId="55" fillId="0" borderId="2" xfId="1" applyNumberFormat="1" applyFont="1" applyBorder="1" applyAlignment="1">
      <alignment vertical="center"/>
    </xf>
    <xf numFmtId="0" fontId="30" fillId="0" borderId="84" xfId="0" applyFont="1" applyBorder="1" applyAlignment="1">
      <alignment vertical="center"/>
    </xf>
    <xf numFmtId="49" fontId="30" fillId="0" borderId="84" xfId="0" applyNumberFormat="1" applyFont="1" applyBorder="1" applyAlignment="1">
      <alignment horizontal="center" vertical="center"/>
    </xf>
    <xf numFmtId="0" fontId="55" fillId="0" borderId="10" xfId="0" applyFont="1" applyBorder="1" applyAlignment="1">
      <alignment vertical="center"/>
    </xf>
    <xf numFmtId="3" fontId="55" fillId="0" borderId="10" xfId="0" applyNumberFormat="1" applyFont="1" applyBorder="1" applyAlignment="1">
      <alignment horizontal="right" vertical="center"/>
    </xf>
    <xf numFmtId="3" fontId="65" fillId="0" borderId="10" xfId="0" applyNumberFormat="1" applyFont="1" applyBorder="1" applyAlignment="1">
      <alignment horizontal="right" vertical="center"/>
    </xf>
    <xf numFmtId="3" fontId="65" fillId="0" borderId="19" xfId="0" applyNumberFormat="1" applyFont="1" applyBorder="1" applyAlignment="1">
      <alignment horizontal="right" vertical="center"/>
    </xf>
    <xf numFmtId="0" fontId="55" fillId="0" borderId="13" xfId="0" applyFont="1" applyBorder="1" applyAlignment="1">
      <alignment vertical="center"/>
    </xf>
    <xf numFmtId="3" fontId="55" fillId="0" borderId="13" xfId="0" applyNumberFormat="1" applyFont="1" applyBorder="1" applyAlignment="1">
      <alignment horizontal="right" vertical="center"/>
    </xf>
    <xf numFmtId="3" fontId="65" fillId="0" borderId="44" xfId="0" applyNumberFormat="1" applyFont="1" applyBorder="1" applyAlignment="1">
      <alignment horizontal="right" vertical="center"/>
    </xf>
    <xf numFmtId="3" fontId="65" fillId="0" borderId="13" xfId="0" applyNumberFormat="1" applyFont="1" applyBorder="1" applyAlignment="1">
      <alignment horizontal="right" vertical="center"/>
    </xf>
    <xf numFmtId="3" fontId="65" fillId="0" borderId="43" xfId="0" applyNumberFormat="1" applyFont="1" applyBorder="1" applyAlignment="1">
      <alignment horizontal="right" vertical="center"/>
    </xf>
    <xf numFmtId="3" fontId="55" fillId="0" borderId="19" xfId="0" applyNumberFormat="1" applyFont="1" applyBorder="1" applyAlignment="1">
      <alignment horizontal="right" vertical="center"/>
    </xf>
    <xf numFmtId="3" fontId="55" fillId="0" borderId="43" xfId="0" applyNumberFormat="1" applyFont="1" applyBorder="1" applyAlignment="1">
      <alignment horizontal="right" vertical="center"/>
    </xf>
    <xf numFmtId="0" fontId="64" fillId="0" borderId="33" xfId="0" applyFont="1" applyBorder="1" applyAlignment="1">
      <alignment vertical="center" wrapText="1"/>
    </xf>
    <xf numFmtId="0" fontId="64" fillId="0" borderId="9" xfId="0" applyFont="1" applyBorder="1" applyAlignment="1">
      <alignment vertical="center"/>
    </xf>
    <xf numFmtId="3" fontId="64" fillId="0" borderId="9" xfId="0" applyNumberFormat="1" applyFont="1" applyBorder="1" applyAlignment="1">
      <alignment vertical="center"/>
    </xf>
    <xf numFmtId="3" fontId="64" fillId="0" borderId="3" xfId="0" applyNumberFormat="1" applyFont="1" applyBorder="1" applyAlignment="1">
      <alignment vertical="center"/>
    </xf>
    <xf numFmtId="0" fontId="65" fillId="0" borderId="10" xfId="0" applyFont="1" applyBorder="1" applyAlignment="1">
      <alignment vertical="center"/>
    </xf>
    <xf numFmtId="3" fontId="65" fillId="0" borderId="10" xfId="0" applyNumberFormat="1" applyFont="1" applyBorder="1" applyAlignment="1">
      <alignment vertical="center"/>
    </xf>
    <xf numFmtId="3" fontId="65" fillId="0" borderId="19" xfId="0" applyNumberFormat="1" applyFont="1" applyBorder="1" applyAlignment="1">
      <alignment vertical="center"/>
    </xf>
    <xf numFmtId="0" fontId="65" fillId="0" borderId="13" xfId="0" applyFont="1" applyBorder="1" applyAlignment="1">
      <alignment vertical="center"/>
    </xf>
    <xf numFmtId="3" fontId="64" fillId="0" borderId="13" xfId="0" applyNumberFormat="1" applyFont="1" applyBorder="1" applyAlignment="1">
      <alignment horizontal="right" vertical="center"/>
    </xf>
    <xf numFmtId="3" fontId="65" fillId="0" borderId="13" xfId="0" applyNumberFormat="1" applyFont="1" applyBorder="1" applyAlignment="1">
      <alignment vertical="center"/>
    </xf>
    <xf numFmtId="3" fontId="65" fillId="0" borderId="43" xfId="0" applyNumberFormat="1" applyFont="1" applyBorder="1" applyAlignment="1">
      <alignment vertical="center"/>
    </xf>
    <xf numFmtId="0" fontId="65" fillId="0" borderId="7" xfId="0" applyFont="1" applyBorder="1" applyAlignment="1">
      <alignment vertical="center"/>
    </xf>
    <xf numFmtId="3" fontId="64" fillId="0" borderId="43" xfId="0" applyNumberFormat="1" applyFont="1" applyBorder="1" applyAlignment="1">
      <alignment horizontal="right" vertical="center"/>
    </xf>
    <xf numFmtId="0" fontId="78" fillId="0" borderId="33" xfId="0" applyFont="1" applyBorder="1" applyAlignment="1">
      <alignment vertical="center"/>
    </xf>
    <xf numFmtId="0" fontId="78" fillId="0" borderId="9" xfId="0" applyFont="1" applyBorder="1" applyAlignment="1">
      <alignment vertical="center"/>
    </xf>
    <xf numFmtId="3" fontId="64" fillId="0" borderId="7" xfId="0" applyNumberFormat="1" applyFont="1" applyBorder="1" applyAlignment="1">
      <alignment vertical="center"/>
    </xf>
    <xf numFmtId="3" fontId="64" fillId="0" borderId="8" xfId="0" applyNumberFormat="1" applyFont="1" applyBorder="1" applyAlignment="1">
      <alignment vertical="center"/>
    </xf>
    <xf numFmtId="0" fontId="79" fillId="0" borderId="33" xfId="0" applyFont="1" applyBorder="1" applyAlignment="1">
      <alignment vertical="center"/>
    </xf>
    <xf numFmtId="0" fontId="79" fillId="0" borderId="9" xfId="0" applyFont="1" applyBorder="1" applyAlignment="1">
      <alignment vertical="center"/>
    </xf>
    <xf numFmtId="3" fontId="79" fillId="0" borderId="9" xfId="0" applyNumberFormat="1" applyFont="1" applyBorder="1" applyAlignment="1">
      <alignment vertical="center"/>
    </xf>
    <xf numFmtId="3" fontId="79" fillId="0" borderId="3" xfId="0" applyNumberFormat="1" applyFont="1" applyBorder="1" applyAlignment="1">
      <alignment vertical="center"/>
    </xf>
    <xf numFmtId="3" fontId="55" fillId="0" borderId="0" xfId="0" applyNumberFormat="1" applyFont="1" applyBorder="1" applyAlignment="1">
      <alignment vertical="center"/>
    </xf>
    <xf numFmtId="0" fontId="30" fillId="0" borderId="24" xfId="0" applyFont="1" applyBorder="1" applyAlignment="1">
      <alignment vertical="center" wrapText="1"/>
    </xf>
    <xf numFmtId="0" fontId="55" fillId="0" borderId="15" xfId="0" applyFont="1" applyBorder="1" applyAlignment="1">
      <alignment vertical="center"/>
    </xf>
    <xf numFmtId="3" fontId="30" fillId="0" borderId="15" xfId="0" applyNumberFormat="1" applyFont="1" applyBorder="1" applyAlignment="1">
      <alignment vertical="center"/>
    </xf>
    <xf numFmtId="3" fontId="30" fillId="0" borderId="22" xfId="0" applyNumberFormat="1" applyFont="1" applyBorder="1" applyAlignment="1">
      <alignment vertical="center"/>
    </xf>
    <xf numFmtId="3" fontId="55" fillId="0" borderId="0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0" fontId="55" fillId="0" borderId="33" xfId="0" applyFont="1" applyBorder="1" applyAlignment="1">
      <alignment horizontal="left" vertical="center"/>
    </xf>
    <xf numFmtId="0" fontId="55" fillId="0" borderId="33" xfId="0" applyFont="1" applyBorder="1" applyAlignment="1">
      <alignment horizontal="left" vertical="center" wrapText="1"/>
    </xf>
    <xf numFmtId="0" fontId="55" fillId="0" borderId="5" xfId="0" applyFont="1" applyBorder="1" applyAlignment="1">
      <alignment horizontal="left" vertical="center"/>
    </xf>
    <xf numFmtId="0" fontId="55" fillId="0" borderId="24" xfId="0" applyFont="1" applyBorder="1" applyAlignment="1">
      <alignment horizontal="left" vertical="center"/>
    </xf>
    <xf numFmtId="3" fontId="55" fillId="0" borderId="0" xfId="0" applyNumberFormat="1" applyFont="1" applyAlignment="1">
      <alignment horizontal="center" vertical="center"/>
    </xf>
    <xf numFmtId="0" fontId="55" fillId="0" borderId="47" xfId="0" applyFont="1" applyBorder="1" applyAlignment="1">
      <alignment horizontal="center" vertical="center"/>
    </xf>
    <xf numFmtId="3" fontId="55" fillId="0" borderId="47" xfId="0" applyNumberFormat="1" applyFont="1" applyBorder="1" applyAlignment="1">
      <alignment horizontal="center" vertical="center"/>
    </xf>
    <xf numFmtId="0" fontId="30" fillId="0" borderId="24" xfId="0" applyFont="1" applyBorder="1" applyAlignment="1">
      <alignment horizontal="left" vertical="center"/>
    </xf>
    <xf numFmtId="0" fontId="55" fillId="0" borderId="1" xfId="0" applyFont="1" applyBorder="1" applyAlignment="1">
      <alignment horizontal="left" vertical="center"/>
    </xf>
    <xf numFmtId="0" fontId="30" fillId="0" borderId="24" xfId="0" applyFont="1" applyBorder="1" applyAlignment="1">
      <alignment horizontal="left" vertical="center" wrapText="1"/>
    </xf>
    <xf numFmtId="3" fontId="55" fillId="0" borderId="9" xfId="0" applyNumberFormat="1" applyFont="1" applyBorder="1" applyAlignment="1">
      <alignment horizontal="right" vertical="center" wrapText="1"/>
    </xf>
    <xf numFmtId="3" fontId="55" fillId="0" borderId="15" xfId="0" applyNumberFormat="1" applyFont="1" applyBorder="1" applyAlignment="1">
      <alignment horizontal="right" vertical="center"/>
    </xf>
    <xf numFmtId="0" fontId="55" fillId="0" borderId="11" xfId="0" applyFont="1" applyBorder="1" applyAlignment="1">
      <alignment horizontal="center" vertical="center"/>
    </xf>
    <xf numFmtId="3" fontId="55" fillId="0" borderId="22" xfId="0" applyNumberFormat="1" applyFont="1" applyBorder="1" applyAlignment="1">
      <alignment horizontal="right" vertical="center"/>
    </xf>
    <xf numFmtId="0" fontId="30" fillId="0" borderId="8" xfId="0" applyFont="1" applyBorder="1" applyAlignment="1">
      <alignment horizontal="center" vertical="center"/>
    </xf>
    <xf numFmtId="3" fontId="55" fillId="0" borderId="3" xfId="0" applyNumberFormat="1" applyFont="1" applyBorder="1" applyAlignment="1">
      <alignment horizontal="right" vertical="center" wrapText="1"/>
    </xf>
    <xf numFmtId="0" fontId="30" fillId="0" borderId="53" xfId="51" applyFont="1" applyFill="1" applyBorder="1" applyAlignment="1" applyProtection="1">
      <alignment horizontal="center" vertical="center" wrapText="1"/>
    </xf>
    <xf numFmtId="0" fontId="30" fillId="0" borderId="41" xfId="51" applyFont="1" applyFill="1" applyBorder="1" applyAlignment="1" applyProtection="1">
      <alignment horizontal="center" vertical="center"/>
    </xf>
    <xf numFmtId="0" fontId="30" fillId="0" borderId="23" xfId="51" applyFont="1" applyFill="1" applyBorder="1" applyAlignment="1" applyProtection="1">
      <alignment horizontal="center" vertical="center"/>
    </xf>
    <xf numFmtId="0" fontId="55" fillId="0" borderId="0" xfId="51" applyFont="1" applyFill="1" applyAlignment="1" applyProtection="1">
      <alignment vertical="center"/>
    </xf>
    <xf numFmtId="166" fontId="55" fillId="0" borderId="47" xfId="51" applyNumberFormat="1" applyFont="1" applyFill="1" applyBorder="1" applyAlignment="1" applyProtection="1">
      <alignment vertical="center"/>
      <protection locked="0"/>
    </xf>
    <xf numFmtId="166" fontId="55" fillId="0" borderId="47" xfId="51" applyNumberFormat="1" applyFont="1" applyFill="1" applyBorder="1" applyAlignment="1" applyProtection="1">
      <alignment vertical="center"/>
    </xf>
    <xf numFmtId="166" fontId="55" fillId="0" borderId="11" xfId="51" quotePrefix="1" applyNumberFormat="1" applyFont="1" applyFill="1" applyBorder="1" applyAlignment="1" applyProtection="1">
      <alignment horizontal="center" vertical="center"/>
    </xf>
    <xf numFmtId="0" fontId="65" fillId="0" borderId="9" xfId="0" applyFont="1" applyBorder="1" applyAlignment="1">
      <alignment horizontal="left" vertical="center" wrapText="1"/>
    </xf>
    <xf numFmtId="166" fontId="55" fillId="0" borderId="9" xfId="51" applyNumberFormat="1" applyFont="1" applyFill="1" applyBorder="1" applyAlignment="1" applyProtection="1">
      <alignment vertical="center"/>
      <protection locked="0"/>
    </xf>
    <xf numFmtId="166" fontId="55" fillId="0" borderId="3" xfId="51" applyNumberFormat="1" applyFont="1" applyFill="1" applyBorder="1" applyAlignment="1" applyProtection="1">
      <alignment vertical="center"/>
    </xf>
    <xf numFmtId="0" fontId="55" fillId="0" borderId="0" xfId="51" applyFont="1" applyFill="1" applyAlignment="1" applyProtection="1">
      <alignment vertical="center"/>
      <protection locked="0"/>
    </xf>
    <xf numFmtId="166" fontId="55" fillId="0" borderId="7" xfId="51" applyNumberFormat="1" applyFont="1" applyFill="1" applyBorder="1" applyAlignment="1" applyProtection="1">
      <alignment vertical="center"/>
      <protection locked="0"/>
    </xf>
    <xf numFmtId="166" fontId="55" fillId="0" borderId="8" xfId="51" applyNumberFormat="1" applyFont="1" applyFill="1" applyBorder="1" applyAlignment="1" applyProtection="1">
      <alignment vertical="center"/>
    </xf>
    <xf numFmtId="0" fontId="77" fillId="0" borderId="0" xfId="0" applyFont="1" applyFill="1" applyAlignment="1">
      <alignment horizontal="right" vertical="center"/>
    </xf>
    <xf numFmtId="0" fontId="55" fillId="0" borderId="24" xfId="51" applyFont="1" applyFill="1" applyBorder="1" applyAlignment="1" applyProtection="1">
      <alignment horizontal="left" vertical="center"/>
    </xf>
    <xf numFmtId="0" fontId="55" fillId="0" borderId="4" xfId="51" applyFont="1" applyFill="1" applyBorder="1" applyAlignment="1" applyProtection="1">
      <alignment horizontal="left" vertical="center"/>
    </xf>
    <xf numFmtId="0" fontId="55" fillId="0" borderId="47" xfId="51" applyFont="1" applyFill="1" applyBorder="1" applyAlignment="1" applyProtection="1">
      <alignment horizontal="left" vertical="center" wrapText="1"/>
    </xf>
    <xf numFmtId="0" fontId="55" fillId="0" borderId="33" xfId="51" applyFont="1" applyFill="1" applyBorder="1" applyAlignment="1" applyProtection="1">
      <alignment horizontal="left" vertical="center"/>
    </xf>
    <xf numFmtId="0" fontId="55" fillId="0" borderId="9" xfId="51" applyFont="1" applyFill="1" applyBorder="1" applyAlignment="1" applyProtection="1">
      <alignment horizontal="left" vertical="center"/>
    </xf>
    <xf numFmtId="0" fontId="55" fillId="0" borderId="1" xfId="51" applyFont="1" applyFill="1" applyBorder="1" applyAlignment="1" applyProtection="1">
      <alignment horizontal="left" vertical="center"/>
    </xf>
    <xf numFmtId="0" fontId="55" fillId="0" borderId="7" xfId="51" applyFont="1" applyFill="1" applyBorder="1" applyAlignment="1" applyProtection="1">
      <alignment horizontal="left" vertical="center"/>
    </xf>
    <xf numFmtId="0" fontId="55" fillId="0" borderId="9" xfId="51" applyFont="1" applyFill="1" applyBorder="1" applyAlignment="1" applyProtection="1">
      <alignment horizontal="left" vertical="center" wrapText="1"/>
    </xf>
    <xf numFmtId="0" fontId="30" fillId="0" borderId="0" xfId="51" applyFont="1" applyFill="1" applyAlignment="1" applyProtection="1">
      <alignment vertical="center"/>
      <protection locked="0"/>
    </xf>
    <xf numFmtId="0" fontId="55" fillId="9" borderId="24" xfId="51" applyFont="1" applyFill="1" applyBorder="1" applyAlignment="1" applyProtection="1">
      <alignment horizontal="left" vertical="center"/>
    </xf>
    <xf numFmtId="0" fontId="30" fillId="9" borderId="15" xfId="51" applyFont="1" applyFill="1" applyBorder="1" applyAlignment="1" applyProtection="1">
      <alignment horizontal="left" vertical="center"/>
    </xf>
    <xf numFmtId="166" fontId="30" fillId="9" borderId="15" xfId="51" applyNumberFormat="1" applyFont="1" applyFill="1" applyBorder="1" applyAlignment="1" applyProtection="1">
      <alignment vertical="center"/>
    </xf>
    <xf numFmtId="166" fontId="30" fillId="9" borderId="22" xfId="51" applyNumberFormat="1" applyFont="1" applyFill="1" applyBorder="1" applyAlignment="1" applyProtection="1">
      <alignment vertical="center"/>
    </xf>
    <xf numFmtId="0" fontId="30" fillId="9" borderId="24" xfId="51" applyFont="1" applyFill="1" applyBorder="1" applyAlignment="1" applyProtection="1">
      <alignment horizontal="left" vertical="center"/>
    </xf>
    <xf numFmtId="166" fontId="30" fillId="9" borderId="22" xfId="51" quotePrefix="1" applyNumberFormat="1" applyFont="1" applyFill="1" applyBorder="1" applyAlignment="1" applyProtection="1">
      <alignment horizontal="center" vertical="center"/>
    </xf>
    <xf numFmtId="0" fontId="55" fillId="0" borderId="0" xfId="0" applyFont="1" applyAlignment="1">
      <alignment horizontal="center" vertical="center"/>
    </xf>
    <xf numFmtId="3" fontId="30" fillId="0" borderId="0" xfId="4" applyNumberFormat="1" applyFont="1" applyBorder="1" applyAlignment="1">
      <alignment horizontal="center" vertical="center"/>
    </xf>
    <xf numFmtId="0" fontId="55" fillId="0" borderId="0" xfId="4" applyFont="1" applyAlignment="1">
      <alignment vertical="center"/>
    </xf>
    <xf numFmtId="0" fontId="30" fillId="0" borderId="0" xfId="4" applyFont="1" applyAlignment="1">
      <alignment horizontal="left" vertical="center"/>
    </xf>
    <xf numFmtId="3" fontId="30" fillId="0" borderId="0" xfId="4" applyNumberFormat="1" applyFont="1" applyAlignment="1">
      <alignment vertical="center"/>
    </xf>
    <xf numFmtId="0" fontId="55" fillId="0" borderId="0" xfId="4" applyFont="1" applyAlignment="1">
      <alignment horizontal="left" vertical="center"/>
    </xf>
    <xf numFmtId="0" fontId="30" fillId="0" borderId="0" xfId="4" applyFont="1" applyAlignment="1">
      <alignment vertical="center"/>
    </xf>
    <xf numFmtId="3" fontId="55" fillId="0" borderId="0" xfId="0" applyNumberFormat="1" applyFont="1"/>
    <xf numFmtId="0" fontId="81" fillId="0" borderId="0" xfId="0" applyFont="1"/>
    <xf numFmtId="0" fontId="81" fillId="0" borderId="15" xfId="0" applyFont="1" applyBorder="1" applyAlignment="1">
      <alignment horizontal="center" vertical="center"/>
    </xf>
    <xf numFmtId="0" fontId="81" fillId="0" borderId="22" xfId="0" applyFont="1" applyBorder="1" applyAlignment="1">
      <alignment horizontal="center" vertical="center" wrapText="1"/>
    </xf>
    <xf numFmtId="0" fontId="55" fillId="0" borderId="0" xfId="0" applyFont="1" applyAlignment="1">
      <alignment horizontal="left" wrapText="1"/>
    </xf>
    <xf numFmtId="0" fontId="81" fillId="0" borderId="24" xfId="0" applyFont="1" applyBorder="1" applyAlignment="1">
      <alignment horizontal="left" vertical="center" wrapText="1"/>
    </xf>
    <xf numFmtId="0" fontId="55" fillId="0" borderId="33" xfId="0" applyFont="1" applyFill="1" applyBorder="1" applyAlignment="1">
      <alignment horizontal="center" vertical="center" wrapText="1"/>
    </xf>
    <xf numFmtId="14" fontId="55" fillId="0" borderId="9" xfId="0" applyNumberFormat="1" applyFont="1" applyFill="1" applyBorder="1" applyAlignment="1">
      <alignment horizontal="center" vertical="center" wrapText="1"/>
    </xf>
    <xf numFmtId="14" fontId="55" fillId="0" borderId="33" xfId="0" applyNumberFormat="1" applyFont="1" applyFill="1" applyBorder="1" applyAlignment="1">
      <alignment horizontal="center" vertical="center" wrapText="1"/>
    </xf>
    <xf numFmtId="0" fontId="55" fillId="0" borderId="9" xfId="0" applyFont="1" applyFill="1" applyBorder="1" applyAlignment="1">
      <alignment horizontal="center" vertical="center" wrapText="1"/>
    </xf>
    <xf numFmtId="168" fontId="55" fillId="0" borderId="33" xfId="0" applyNumberFormat="1" applyFont="1" applyFill="1" applyBorder="1" applyAlignment="1">
      <alignment horizontal="center" vertical="center" wrapText="1"/>
    </xf>
    <xf numFmtId="14" fontId="55" fillId="0" borderId="9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horizontal="left" vertical="center"/>
    </xf>
    <xf numFmtId="0" fontId="55" fillId="0" borderId="0" xfId="0" applyFont="1" applyAlignment="1">
      <alignment horizontal="right" vertical="center"/>
    </xf>
    <xf numFmtId="6" fontId="55" fillId="0" borderId="20" xfId="0" applyNumberFormat="1" applyFont="1" applyFill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166" fontId="56" fillId="0" borderId="0" xfId="0" applyNumberFormat="1" applyFont="1" applyFill="1" applyAlignment="1">
      <alignment horizontal="center" vertical="center" wrapText="1"/>
    </xf>
    <xf numFmtId="166" fontId="30" fillId="0" borderId="0" xfId="0" applyNumberFormat="1" applyFont="1" applyFill="1" applyAlignment="1">
      <alignment horizontal="center" vertical="center" wrapText="1"/>
    </xf>
    <xf numFmtId="166" fontId="77" fillId="0" borderId="0" xfId="0" applyNumberFormat="1" applyFont="1" applyFill="1" applyAlignment="1">
      <alignment horizontal="right" vertical="center"/>
    </xf>
    <xf numFmtId="0" fontId="30" fillId="0" borderId="24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6" fillId="0" borderId="5" xfId="0" applyFont="1" applyFill="1" applyBorder="1" applyAlignment="1">
      <alignment horizontal="center" vertical="center" wrapText="1"/>
    </xf>
    <xf numFmtId="0" fontId="56" fillId="0" borderId="4" xfId="0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55" fillId="0" borderId="5" xfId="0" applyFont="1" applyFill="1" applyBorder="1" applyAlignment="1">
      <alignment horizontal="center" vertical="center" wrapText="1"/>
    </xf>
    <xf numFmtId="0" fontId="66" fillId="9" borderId="14" xfId="0" applyFont="1" applyFill="1" applyBorder="1" applyAlignment="1">
      <alignment vertical="center"/>
    </xf>
    <xf numFmtId="0" fontId="66" fillId="9" borderId="6" xfId="0" applyFont="1" applyFill="1" applyBorder="1" applyAlignment="1">
      <alignment vertical="center"/>
    </xf>
    <xf numFmtId="0" fontId="68" fillId="0" borderId="0" xfId="0" applyFont="1" applyAlignment="1">
      <alignment vertical="center"/>
    </xf>
    <xf numFmtId="0" fontId="64" fillId="0" borderId="0" xfId="0" applyFont="1" applyFill="1" applyAlignment="1">
      <alignment vertical="center"/>
    </xf>
    <xf numFmtId="0" fontId="57" fillId="0" borderId="0" xfId="0" applyFont="1" applyFill="1"/>
    <xf numFmtId="0" fontId="55" fillId="0" borderId="0" xfId="0" applyFont="1" applyFill="1" applyAlignment="1">
      <alignment horizontal="center"/>
    </xf>
    <xf numFmtId="0" fontId="55" fillId="0" borderId="0" xfId="0" applyFont="1" applyFill="1"/>
    <xf numFmtId="6" fontId="55" fillId="0" borderId="9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horizontal="center" vertical="center"/>
    </xf>
    <xf numFmtId="0" fontId="57" fillId="0" borderId="0" xfId="0" applyFont="1" applyFill="1" applyAlignment="1">
      <alignment horizontal="left" vertical="center"/>
    </xf>
    <xf numFmtId="0" fontId="57" fillId="0" borderId="0" xfId="0" applyFont="1" applyFill="1" applyAlignment="1">
      <alignment horizontal="right" vertical="center"/>
    </xf>
    <xf numFmtId="0" fontId="55" fillId="0" borderId="9" xfId="2" applyFont="1" applyFill="1" applyBorder="1" applyAlignment="1">
      <alignment horizontal="left" vertical="center" wrapText="1"/>
    </xf>
    <xf numFmtId="0" fontId="55" fillId="0" borderId="9" xfId="2" applyFont="1" applyFill="1" applyBorder="1" applyAlignment="1">
      <alignment horizontal="center" vertical="center" wrapText="1"/>
    </xf>
    <xf numFmtId="0" fontId="55" fillId="0" borderId="9" xfId="2" applyFont="1" applyFill="1" applyBorder="1" applyAlignment="1">
      <alignment horizontal="right" vertical="center" wrapText="1"/>
    </xf>
    <xf numFmtId="6" fontId="55" fillId="0" borderId="9" xfId="2" applyNumberFormat="1" applyFont="1" applyFill="1" applyBorder="1" applyAlignment="1">
      <alignment horizontal="right" vertical="center" wrapText="1"/>
    </xf>
    <xf numFmtId="14" fontId="55" fillId="0" borderId="9" xfId="2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left" vertical="center"/>
    </xf>
    <xf numFmtId="0" fontId="55" fillId="0" borderId="0" xfId="0" applyFont="1" applyFill="1" applyAlignment="1">
      <alignment horizontal="center" vertical="center"/>
    </xf>
    <xf numFmtId="169" fontId="55" fillId="0" borderId="3" xfId="0" applyNumberFormat="1" applyFont="1" applyFill="1" applyBorder="1" applyAlignment="1">
      <alignment horizontal="right" vertical="center" wrapText="1" indent="2"/>
    </xf>
    <xf numFmtId="169" fontId="55" fillId="0" borderId="3" xfId="2" applyNumberFormat="1" applyFont="1" applyFill="1" applyBorder="1" applyAlignment="1">
      <alignment horizontal="right" vertical="center" wrapText="1" indent="2"/>
    </xf>
    <xf numFmtId="168" fontId="55" fillId="0" borderId="35" xfId="0" applyNumberFormat="1" applyFont="1" applyFill="1" applyBorder="1" applyAlignment="1">
      <alignment horizontal="center" vertical="center" wrapText="1"/>
    </xf>
    <xf numFmtId="0" fontId="55" fillId="0" borderId="20" xfId="0" applyFont="1" applyFill="1" applyBorder="1" applyAlignment="1">
      <alignment horizontal="left" vertical="center" wrapText="1"/>
    </xf>
    <xf numFmtId="14" fontId="55" fillId="0" borderId="20" xfId="0" applyNumberFormat="1" applyFont="1" applyFill="1" applyBorder="1" applyAlignment="1">
      <alignment horizontal="center" vertical="center" wrapText="1"/>
    </xf>
    <xf numFmtId="169" fontId="55" fillId="0" borderId="21" xfId="0" applyNumberFormat="1" applyFont="1" applyFill="1" applyBorder="1" applyAlignment="1">
      <alignment horizontal="right" vertical="center" wrapText="1" indent="2"/>
    </xf>
    <xf numFmtId="14" fontId="55" fillId="0" borderId="7" xfId="0" applyNumberFormat="1" applyFont="1" applyFill="1" applyBorder="1" applyAlignment="1">
      <alignment horizontal="center" vertical="center" wrapText="1"/>
    </xf>
    <xf numFmtId="0" fontId="55" fillId="0" borderId="7" xfId="0" applyFont="1" applyFill="1" applyBorder="1" applyAlignment="1">
      <alignment horizontal="center" vertical="center" wrapText="1"/>
    </xf>
    <xf numFmtId="169" fontId="55" fillId="0" borderId="8" xfId="0" applyNumberFormat="1" applyFont="1" applyFill="1" applyBorder="1" applyAlignment="1">
      <alignment horizontal="right" vertical="center" wrapText="1" indent="2"/>
    </xf>
    <xf numFmtId="0" fontId="30" fillId="0" borderId="22" xfId="0" applyFont="1" applyFill="1" applyBorder="1" applyAlignment="1">
      <alignment horizontal="center" vertical="center" wrapText="1"/>
    </xf>
    <xf numFmtId="0" fontId="55" fillId="0" borderId="7" xfId="2" applyFont="1" applyFill="1" applyBorder="1" applyAlignment="1">
      <alignment horizontal="left" vertical="center" wrapText="1"/>
    </xf>
    <xf numFmtId="0" fontId="55" fillId="0" borderId="7" xfId="2" applyFont="1" applyFill="1" applyBorder="1" applyAlignment="1">
      <alignment horizontal="center" vertical="center" wrapText="1"/>
    </xf>
    <xf numFmtId="0" fontId="55" fillId="0" borderId="7" xfId="2" applyFont="1" applyFill="1" applyBorder="1" applyAlignment="1">
      <alignment horizontal="right" vertical="center" wrapText="1"/>
    </xf>
    <xf numFmtId="14" fontId="55" fillId="0" borderId="1" xfId="2" applyNumberFormat="1" applyFont="1" applyFill="1" applyBorder="1" applyAlignment="1">
      <alignment horizontal="center" vertical="center"/>
    </xf>
    <xf numFmtId="169" fontId="55" fillId="0" borderId="8" xfId="2" applyNumberFormat="1" applyFont="1" applyFill="1" applyBorder="1" applyAlignment="1">
      <alignment horizontal="right" vertical="center" wrapText="1" indent="2"/>
    </xf>
    <xf numFmtId="14" fontId="55" fillId="0" borderId="33" xfId="2" applyNumberFormat="1" applyFont="1" applyFill="1" applyBorder="1" applyAlignment="1">
      <alignment horizontal="center" vertical="center"/>
    </xf>
    <xf numFmtId="14" fontId="55" fillId="0" borderId="33" xfId="2" applyNumberFormat="1" applyFont="1" applyFill="1" applyBorder="1" applyAlignment="1">
      <alignment horizontal="center" vertical="center" wrapText="1"/>
    </xf>
    <xf numFmtId="14" fontId="55" fillId="0" borderId="35" xfId="2" applyNumberFormat="1" applyFont="1" applyFill="1" applyBorder="1" applyAlignment="1">
      <alignment horizontal="center" vertical="center"/>
    </xf>
    <xf numFmtId="0" fontId="55" fillId="0" borderId="20" xfId="2" applyFont="1" applyFill="1" applyBorder="1" applyAlignment="1">
      <alignment horizontal="left" vertical="center" wrapText="1"/>
    </xf>
    <xf numFmtId="0" fontId="55" fillId="0" borderId="20" xfId="2" applyFont="1" applyFill="1" applyBorder="1" applyAlignment="1">
      <alignment horizontal="center" vertical="center" wrapText="1"/>
    </xf>
    <xf numFmtId="0" fontId="55" fillId="0" borderId="20" xfId="2" applyFont="1" applyFill="1" applyBorder="1" applyAlignment="1">
      <alignment horizontal="right" vertical="center" wrapText="1"/>
    </xf>
    <xf numFmtId="169" fontId="55" fillId="0" borderId="21" xfId="2" applyNumberFormat="1" applyFont="1" applyFill="1" applyBorder="1" applyAlignment="1">
      <alignment horizontal="right" vertical="center" wrapText="1" indent="2"/>
    </xf>
    <xf numFmtId="3" fontId="11" fillId="6" borderId="2" xfId="0" applyNumberFormat="1" applyFont="1" applyFill="1" applyBorder="1" applyAlignment="1">
      <alignment vertical="center"/>
    </xf>
    <xf numFmtId="2" fontId="11" fillId="6" borderId="2" xfId="0" applyNumberFormat="1" applyFont="1" applyFill="1" applyBorder="1" applyAlignment="1">
      <alignment horizontal="center" vertical="center"/>
    </xf>
    <xf numFmtId="2" fontId="13" fillId="6" borderId="2" xfId="0" applyNumberFormat="1" applyFont="1" applyFill="1" applyBorder="1" applyAlignment="1">
      <alignment horizontal="center" vertical="center"/>
    </xf>
    <xf numFmtId="2" fontId="8" fillId="6" borderId="26" xfId="0" applyNumberFormat="1" applyFont="1" applyFill="1" applyBorder="1" applyAlignment="1" applyProtection="1">
      <alignment horizontal="center" vertical="center"/>
    </xf>
    <xf numFmtId="3" fontId="65" fillId="6" borderId="0" xfId="0" applyNumberFormat="1" applyFont="1" applyFill="1" applyBorder="1" applyAlignment="1"/>
    <xf numFmtId="49" fontId="11" fillId="6" borderId="33" xfId="0" applyNumberFormat="1" applyFont="1" applyFill="1" applyBorder="1" applyAlignment="1">
      <alignment horizontal="center"/>
    </xf>
    <xf numFmtId="4" fontId="10" fillId="6" borderId="3" xfId="0" applyNumberFormat="1" applyFont="1" applyFill="1" applyBorder="1" applyProtection="1"/>
    <xf numFmtId="49" fontId="8" fillId="6" borderId="33" xfId="0" applyNumberFormat="1" applyFont="1" applyFill="1" applyBorder="1" applyAlignment="1" applyProtection="1">
      <alignment horizontal="center" vertical="center"/>
    </xf>
    <xf numFmtId="49" fontId="12" fillId="6" borderId="33" xfId="0" applyNumberFormat="1" applyFont="1" applyFill="1" applyBorder="1" applyAlignment="1" applyProtection="1">
      <alignment horizontal="center" vertical="center"/>
    </xf>
    <xf numFmtId="4" fontId="12" fillId="6" borderId="3" xfId="0" applyNumberFormat="1" applyFont="1" applyFill="1" applyBorder="1" applyAlignment="1" applyProtection="1">
      <alignment horizontal="right" vertical="center" indent="3"/>
    </xf>
    <xf numFmtId="4" fontId="8" fillId="6" borderId="3" xfId="0" applyNumberFormat="1" applyFont="1" applyFill="1" applyBorder="1" applyAlignment="1" applyProtection="1">
      <alignment horizontal="right" vertical="center" indent="3"/>
    </xf>
    <xf numFmtId="49" fontId="8" fillId="6" borderId="5" xfId="0" applyNumberFormat="1" applyFont="1" applyFill="1" applyBorder="1" applyAlignment="1" applyProtection="1">
      <alignment horizontal="center" vertical="center"/>
    </xf>
    <xf numFmtId="3" fontId="8" fillId="6" borderId="18" xfId="0" applyNumberFormat="1" applyFont="1" applyFill="1" applyBorder="1" applyAlignment="1">
      <alignment vertical="center"/>
    </xf>
    <xf numFmtId="4" fontId="8" fillId="6" borderId="18" xfId="0" applyNumberFormat="1" applyFont="1" applyFill="1" applyBorder="1" applyAlignment="1" applyProtection="1">
      <alignment horizontal="right" vertical="center" indent="3"/>
    </xf>
    <xf numFmtId="4" fontId="8" fillId="6" borderId="46" xfId="0" applyNumberFormat="1" applyFont="1" applyFill="1" applyBorder="1" applyAlignment="1" applyProtection="1">
      <alignment horizontal="right" vertical="center" indent="3"/>
    </xf>
    <xf numFmtId="4" fontId="8" fillId="9" borderId="15" xfId="0" applyNumberFormat="1" applyFont="1" applyFill="1" applyBorder="1" applyAlignment="1" applyProtection="1">
      <alignment horizontal="right" vertical="center" indent="3"/>
    </xf>
    <xf numFmtId="4" fontId="8" fillId="9" borderId="22" xfId="0" applyNumberFormat="1" applyFont="1" applyFill="1" applyBorder="1" applyAlignment="1" applyProtection="1">
      <alignment horizontal="right" vertical="center" indent="3"/>
    </xf>
    <xf numFmtId="49" fontId="11" fillId="6" borderId="1" xfId="0" applyNumberFormat="1" applyFont="1" applyFill="1" applyBorder="1" applyAlignment="1">
      <alignment horizontal="center"/>
    </xf>
    <xf numFmtId="0" fontId="10" fillId="6" borderId="7" xfId="0" applyFont="1" applyFill="1" applyBorder="1"/>
    <xf numFmtId="4" fontId="10" fillId="6" borderId="8" xfId="0" applyNumberFormat="1" applyFont="1" applyFill="1" applyBorder="1" applyProtection="1"/>
    <xf numFmtId="0" fontId="66" fillId="0" borderId="24" xfId="4" applyFont="1" applyBorder="1" applyAlignment="1">
      <alignment horizontal="center" vertical="center" wrapText="1"/>
    </xf>
    <xf numFmtId="0" fontId="66" fillId="0" borderId="6" xfId="4" applyFont="1" applyBorder="1" applyAlignment="1">
      <alignment horizontal="center" vertical="center" wrapText="1"/>
    </xf>
    <xf numFmtId="0" fontId="68" fillId="0" borderId="0" xfId="4" applyFont="1" applyAlignment="1">
      <alignment vertical="center"/>
    </xf>
    <xf numFmtId="0" fontId="66" fillId="3" borderId="1" xfId="4" applyFont="1" applyFill="1" applyBorder="1" applyAlignment="1">
      <alignment horizontal="left" vertical="center" wrapText="1"/>
    </xf>
    <xf numFmtId="0" fontId="69" fillId="0" borderId="33" xfId="0" applyFont="1" applyBorder="1" applyAlignment="1">
      <alignment horizontal="left" vertical="center" wrapText="1"/>
    </xf>
    <xf numFmtId="0" fontId="84" fillId="0" borderId="0" xfId="4" applyFont="1" applyAlignment="1">
      <alignment vertical="center"/>
    </xf>
    <xf numFmtId="0" fontId="68" fillId="0" borderId="33" xfId="4" applyFont="1" applyFill="1" applyBorder="1" applyAlignment="1">
      <alignment vertical="center"/>
    </xf>
    <xf numFmtId="0" fontId="68" fillId="0" borderId="0" xfId="4" applyFont="1" applyFill="1" applyAlignment="1">
      <alignment vertical="center"/>
    </xf>
    <xf numFmtId="0" fontId="66" fillId="3" borderId="33" xfId="4" applyFont="1" applyFill="1" applyBorder="1" applyAlignment="1">
      <alignment horizontal="left" vertical="center"/>
    </xf>
    <xf numFmtId="0" fontId="68" fillId="0" borderId="0" xfId="4" applyFont="1" applyFill="1" applyAlignment="1">
      <alignment vertical="center" wrapText="1"/>
    </xf>
    <xf numFmtId="0" fontId="68" fillId="0" borderId="33" xfId="4" applyFont="1" applyBorder="1" applyAlignment="1">
      <alignment horizontal="left" vertical="center"/>
    </xf>
    <xf numFmtId="0" fontId="66" fillId="9" borderId="33" xfId="4" applyFont="1" applyFill="1" applyBorder="1" applyAlignment="1">
      <alignment horizontal="left" vertical="center" wrapText="1"/>
    </xf>
    <xf numFmtId="0" fontId="66" fillId="0" borderId="0" xfId="4" applyFont="1" applyFill="1" applyAlignment="1">
      <alignment vertical="center"/>
    </xf>
    <xf numFmtId="0" fontId="66" fillId="0" borderId="33" xfId="4" applyNumberFormat="1" applyFont="1" applyFill="1" applyBorder="1" applyAlignment="1">
      <alignment horizontal="left" vertical="center" wrapText="1"/>
    </xf>
    <xf numFmtId="0" fontId="68" fillId="0" borderId="0" xfId="4" applyNumberFormat="1" applyFont="1" applyFill="1" applyAlignment="1">
      <alignment vertical="center" wrapText="1"/>
    </xf>
    <xf numFmtId="3" fontId="68" fillId="0" borderId="33" xfId="4" applyNumberFormat="1" applyFont="1" applyBorder="1" applyAlignment="1">
      <alignment horizontal="left" vertical="center" wrapText="1"/>
    </xf>
    <xf numFmtId="0" fontId="68" fillId="0" borderId="5" xfId="4" applyFont="1" applyBorder="1" applyAlignment="1">
      <alignment horizontal="left" vertical="center"/>
    </xf>
    <xf numFmtId="0" fontId="66" fillId="4" borderId="24" xfId="4" applyFont="1" applyFill="1" applyBorder="1" applyAlignment="1">
      <alignment horizontal="left" vertical="center"/>
    </xf>
    <xf numFmtId="0" fontId="66" fillId="9" borderId="24" xfId="4" applyFont="1" applyFill="1" applyBorder="1" applyAlignment="1">
      <alignment horizontal="left" vertical="center" wrapText="1"/>
    </xf>
    <xf numFmtId="0" fontId="73" fillId="0" borderId="0" xfId="0" applyFont="1"/>
    <xf numFmtId="3" fontId="73" fillId="0" borderId="0" xfId="0" applyNumberFormat="1" applyFont="1"/>
    <xf numFmtId="41" fontId="72" fillId="4" borderId="24" xfId="0" applyNumberFormat="1" applyFont="1" applyFill="1" applyBorder="1" applyAlignment="1">
      <alignment horizontal="left" vertical="center" wrapText="1"/>
    </xf>
    <xf numFmtId="41" fontId="72" fillId="0" borderId="24" xfId="0" applyNumberFormat="1" applyFont="1" applyBorder="1" applyAlignment="1">
      <alignment horizontal="left" vertical="center" wrapText="1"/>
    </xf>
    <xf numFmtId="3" fontId="73" fillId="0" borderId="9" xfId="4" applyNumberFormat="1" applyFont="1" applyBorder="1" applyAlignment="1">
      <alignment horizontal="right" vertical="center"/>
    </xf>
    <xf numFmtId="3" fontId="73" fillId="0" borderId="9" xfId="0" applyNumberFormat="1" applyFont="1" applyBorder="1" applyAlignment="1">
      <alignment horizontal="right" vertical="center"/>
    </xf>
    <xf numFmtId="3" fontId="73" fillId="0" borderId="3" xfId="0" applyNumberFormat="1" applyFont="1" applyBorder="1" applyAlignment="1">
      <alignment horizontal="right" vertical="center"/>
    </xf>
    <xf numFmtId="3" fontId="73" fillId="0" borderId="47" xfId="0" applyNumberFormat="1" applyFont="1" applyBorder="1" applyAlignment="1">
      <alignment horizontal="right" vertical="center"/>
    </xf>
    <xf numFmtId="3" fontId="73" fillId="0" borderId="11" xfId="0" applyNumberFormat="1" applyFont="1" applyBorder="1" applyAlignment="1">
      <alignment horizontal="right" vertical="center"/>
    </xf>
    <xf numFmtId="3" fontId="72" fillId="4" borderId="15" xfId="0" applyNumberFormat="1" applyFont="1" applyFill="1" applyBorder="1" applyAlignment="1">
      <alignment horizontal="right" vertical="center"/>
    </xf>
    <xf numFmtId="3" fontId="72" fillId="4" borderId="22" xfId="0" applyNumberFormat="1" applyFont="1" applyFill="1" applyBorder="1" applyAlignment="1">
      <alignment horizontal="right" vertical="center"/>
    </xf>
    <xf numFmtId="3" fontId="73" fillId="0" borderId="18" xfId="0" applyNumberFormat="1" applyFont="1" applyBorder="1" applyAlignment="1">
      <alignment horizontal="right" vertical="center"/>
    </xf>
    <xf numFmtId="3" fontId="73" fillId="0" borderId="9" xfId="0" applyNumberFormat="1" applyFont="1" applyBorder="1" applyAlignment="1">
      <alignment horizontal="right"/>
    </xf>
    <xf numFmtId="3" fontId="73" fillId="0" borderId="20" xfId="0" applyNumberFormat="1" applyFont="1" applyBorder="1" applyAlignment="1">
      <alignment horizontal="right"/>
    </xf>
    <xf numFmtId="3" fontId="73" fillId="0" borderId="27" xfId="0" applyNumberFormat="1" applyFont="1" applyBorder="1" applyAlignment="1">
      <alignment horizontal="right"/>
    </xf>
    <xf numFmtId="3" fontId="73" fillId="0" borderId="0" xfId="0" applyNumberFormat="1" applyFont="1" applyBorder="1" applyAlignment="1">
      <alignment horizontal="right"/>
    </xf>
    <xf numFmtId="3" fontId="72" fillId="0" borderId="15" xfId="0" applyNumberFormat="1" applyFont="1" applyBorder="1" applyAlignment="1">
      <alignment horizontal="right" vertical="center"/>
    </xf>
    <xf numFmtId="3" fontId="72" fillId="0" borderId="22" xfId="0" applyNumberFormat="1" applyFont="1" applyBorder="1" applyAlignment="1">
      <alignment horizontal="right" vertical="center"/>
    </xf>
    <xf numFmtId="0" fontId="85" fillId="0" borderId="33" xfId="0" applyFont="1" applyBorder="1" applyAlignment="1">
      <alignment horizontal="left" vertical="center" wrapText="1"/>
    </xf>
    <xf numFmtId="0" fontId="86" fillId="0" borderId="33" xfId="4" applyFont="1" applyBorder="1" applyAlignment="1">
      <alignment horizontal="left" vertical="center" wrapText="1"/>
    </xf>
    <xf numFmtId="3" fontId="86" fillId="0" borderId="33" xfId="4" applyNumberFormat="1" applyFont="1" applyBorder="1" applyAlignment="1">
      <alignment horizontal="left" vertical="center" wrapText="1"/>
    </xf>
    <xf numFmtId="0" fontId="86" fillId="0" borderId="33" xfId="0" applyFont="1" applyBorder="1" applyAlignment="1">
      <alignment horizontal="left" vertical="center" wrapText="1"/>
    </xf>
    <xf numFmtId="0" fontId="87" fillId="0" borderId="45" xfId="4" applyFont="1" applyBorder="1" applyAlignment="1">
      <alignment horizontal="center" vertical="center" wrapText="1"/>
    </xf>
    <xf numFmtId="41" fontId="87" fillId="0" borderId="16" xfId="0" applyNumberFormat="1" applyFont="1" applyBorder="1" applyAlignment="1">
      <alignment horizontal="center" vertical="center" wrapText="1"/>
    </xf>
    <xf numFmtId="0" fontId="87" fillId="0" borderId="16" xfId="4" applyFont="1" applyBorder="1" applyAlignment="1">
      <alignment horizontal="center" vertical="center" wrapText="1"/>
    </xf>
    <xf numFmtId="0" fontId="87" fillId="0" borderId="16" xfId="5" applyFont="1" applyBorder="1" applyAlignment="1">
      <alignment horizontal="center" vertical="center" wrapText="1"/>
    </xf>
    <xf numFmtId="0" fontId="87" fillId="0" borderId="16" xfId="5" applyNumberFormat="1" applyFont="1" applyBorder="1" applyAlignment="1" applyProtection="1">
      <alignment horizontal="center" vertical="top" wrapText="1"/>
      <protection locked="0"/>
    </xf>
    <xf numFmtId="0" fontId="87" fillId="3" borderId="33" xfId="4" applyFont="1" applyFill="1" applyBorder="1" applyAlignment="1">
      <alignment horizontal="left" vertical="center" wrapText="1" indent="1"/>
    </xf>
    <xf numFmtId="41" fontId="87" fillId="3" borderId="9" xfId="4" applyNumberFormat="1" applyFont="1" applyFill="1" applyBorder="1" applyAlignment="1">
      <alignment horizontal="right" vertical="center" wrapText="1" indent="1"/>
    </xf>
    <xf numFmtId="0" fontId="87" fillId="3" borderId="9" xfId="4" applyFont="1" applyFill="1" applyBorder="1" applyAlignment="1">
      <alignment horizontal="left" vertical="center" wrapText="1" indent="1"/>
    </xf>
    <xf numFmtId="0" fontId="88" fillId="0" borderId="33" xfId="0" applyFont="1" applyBorder="1" applyAlignment="1">
      <alignment horizontal="left" vertical="center" wrapText="1"/>
    </xf>
    <xf numFmtId="0" fontId="89" fillId="0" borderId="9" xfId="0" applyFont="1" applyBorder="1" applyAlignment="1">
      <alignment horizontal="left" vertical="center" wrapText="1"/>
    </xf>
    <xf numFmtId="0" fontId="89" fillId="0" borderId="29" xfId="4" applyFont="1" applyFill="1" applyBorder="1" applyAlignment="1">
      <alignment vertical="center"/>
    </xf>
    <xf numFmtId="0" fontId="87" fillId="3" borderId="33" xfId="4" applyFont="1" applyFill="1" applyBorder="1" applyAlignment="1">
      <alignment horizontal="left" vertical="center" indent="1"/>
    </xf>
    <xf numFmtId="0" fontId="87" fillId="3" borderId="9" xfId="4" applyFont="1" applyFill="1" applyBorder="1" applyAlignment="1">
      <alignment horizontal="left" vertical="center" indent="1"/>
    </xf>
    <xf numFmtId="0" fontId="87" fillId="3" borderId="33" xfId="4" applyFont="1" applyFill="1" applyBorder="1" applyAlignment="1">
      <alignment horizontal="left" vertical="center" wrapText="1"/>
    </xf>
    <xf numFmtId="0" fontId="87" fillId="3" borderId="9" xfId="4" applyFont="1" applyFill="1" applyBorder="1" applyAlignment="1">
      <alignment horizontal="left" vertical="center" wrapText="1"/>
    </xf>
    <xf numFmtId="0" fontId="87" fillId="0" borderId="33" xfId="4" applyNumberFormat="1" applyFont="1" applyFill="1" applyBorder="1" applyAlignment="1">
      <alignment horizontal="left" vertical="center" wrapText="1"/>
    </xf>
    <xf numFmtId="0" fontId="87" fillId="0" borderId="9" xfId="4" applyNumberFormat="1" applyFont="1" applyFill="1" applyBorder="1" applyAlignment="1">
      <alignment horizontal="left" vertical="center" wrapText="1"/>
    </xf>
    <xf numFmtId="3" fontId="90" fillId="0" borderId="33" xfId="4" applyNumberFormat="1" applyFont="1" applyBorder="1" applyAlignment="1">
      <alignment horizontal="left" vertical="center" wrapText="1" indent="1"/>
    </xf>
    <xf numFmtId="0" fontId="87" fillId="4" borderId="35" xfId="4" applyFont="1" applyFill="1" applyBorder="1" applyAlignment="1">
      <alignment horizontal="left" vertical="center" indent="1"/>
    </xf>
    <xf numFmtId="0" fontId="87" fillId="4" borderId="20" xfId="4" applyFont="1" applyFill="1" applyBorder="1" applyAlignment="1">
      <alignment horizontal="left" vertical="center" indent="1"/>
    </xf>
    <xf numFmtId="0" fontId="89" fillId="0" borderId="0" xfId="4" applyFont="1" applyFill="1" applyAlignment="1">
      <alignment horizontal="left" indent="1"/>
    </xf>
    <xf numFmtId="0" fontId="91" fillId="0" borderId="17" xfId="4" applyFont="1" applyBorder="1" applyAlignment="1">
      <alignment horizontal="center" wrapText="1"/>
    </xf>
    <xf numFmtId="41" fontId="89" fillId="0" borderId="0" xfId="4" applyNumberFormat="1" applyFont="1" applyFill="1" applyAlignment="1">
      <alignment horizontal="right"/>
    </xf>
    <xf numFmtId="41" fontId="89" fillId="0" borderId="0" xfId="4" applyNumberFormat="1" applyFont="1" applyFill="1" applyBorder="1" applyAlignment="1">
      <alignment horizontal="right"/>
    </xf>
    <xf numFmtId="0" fontId="91" fillId="0" borderId="45" xfId="4" applyFont="1" applyBorder="1" applyAlignment="1">
      <alignment horizontal="center" vertical="center" wrapText="1"/>
    </xf>
    <xf numFmtId="41" fontId="91" fillId="0" borderId="16" xfId="0" applyNumberFormat="1" applyFont="1" applyBorder="1" applyAlignment="1">
      <alignment horizontal="center" vertical="center" wrapText="1"/>
    </xf>
    <xf numFmtId="0" fontId="91" fillId="0" borderId="16" xfId="4" applyFont="1" applyBorder="1" applyAlignment="1">
      <alignment horizontal="center" vertical="center" wrapText="1"/>
    </xf>
    <xf numFmtId="0" fontId="91" fillId="0" borderId="16" xfId="5" applyFont="1" applyBorder="1" applyAlignment="1">
      <alignment horizontal="center" vertical="center" wrapText="1"/>
    </xf>
    <xf numFmtId="0" fontId="91" fillId="0" borderId="17" xfId="5" applyFont="1" applyBorder="1" applyAlignment="1">
      <alignment horizontal="center" vertical="center" wrapText="1"/>
    </xf>
    <xf numFmtId="0" fontId="64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49" fontId="67" fillId="0" borderId="1" xfId="0" applyNumberFormat="1" applyFont="1" applyBorder="1" applyAlignment="1">
      <alignment horizontal="center" vertical="center"/>
    </xf>
    <xf numFmtId="0" fontId="66" fillId="0" borderId="7" xfId="0" applyFont="1" applyBorder="1" applyAlignment="1">
      <alignment vertical="center" wrapText="1"/>
    </xf>
    <xf numFmtId="49" fontId="67" fillId="0" borderId="33" xfId="0" applyNumberFormat="1" applyFont="1" applyBorder="1" applyAlignment="1">
      <alignment horizontal="center" vertical="center"/>
    </xf>
    <xf numFmtId="0" fontId="66" fillId="0" borderId="9" xfId="0" applyFont="1" applyBorder="1" applyAlignment="1">
      <alignment vertical="center" wrapText="1"/>
    </xf>
    <xf numFmtId="0" fontId="66" fillId="0" borderId="9" xfId="0" applyFont="1" applyBorder="1" applyAlignment="1">
      <alignment vertical="center"/>
    </xf>
    <xf numFmtId="0" fontId="66" fillId="0" borderId="7" xfId="0" applyFont="1" applyBorder="1" applyAlignment="1">
      <alignment vertical="center"/>
    </xf>
    <xf numFmtId="49" fontId="69" fillId="0" borderId="33" xfId="0" applyNumberFormat="1" applyFont="1" applyBorder="1" applyAlignment="1">
      <alignment horizontal="center" vertical="center"/>
    </xf>
    <xf numFmtId="0" fontId="66" fillId="0" borderId="48" xfId="0" applyFont="1" applyBorder="1" applyAlignment="1">
      <alignment vertical="center" wrapText="1"/>
    </xf>
    <xf numFmtId="49" fontId="67" fillId="0" borderId="5" xfId="0" applyNumberFormat="1" applyFont="1" applyBorder="1" applyAlignment="1">
      <alignment horizontal="center" vertical="center"/>
    </xf>
    <xf numFmtId="41" fontId="93" fillId="9" borderId="15" xfId="0" applyNumberFormat="1" applyFont="1" applyFill="1" applyBorder="1" applyAlignment="1">
      <alignment horizontal="right" vertical="center" indent="1"/>
    </xf>
    <xf numFmtId="41" fontId="86" fillId="0" borderId="9" xfId="0" applyNumberFormat="1" applyFont="1" applyBorder="1" applyAlignment="1">
      <alignment horizontal="right" vertical="center" indent="1"/>
    </xf>
    <xf numFmtId="0" fontId="66" fillId="0" borderId="24" xfId="0" applyFont="1" applyBorder="1" applyAlignment="1">
      <alignment horizontal="center" vertical="center"/>
    </xf>
    <xf numFmtId="0" fontId="66" fillId="0" borderId="15" xfId="0" applyFont="1" applyBorder="1" applyAlignment="1">
      <alignment horizontal="center" vertical="center"/>
    </xf>
    <xf numFmtId="41" fontId="66" fillId="0" borderId="15" xfId="0" applyNumberFormat="1" applyFont="1" applyBorder="1" applyAlignment="1">
      <alignment horizontal="center" vertical="center" wrapText="1"/>
    </xf>
    <xf numFmtId="0" fontId="67" fillId="0" borderId="15" xfId="0" applyFont="1" applyBorder="1" applyAlignment="1">
      <alignment horizontal="center" vertical="center" wrapText="1"/>
    </xf>
    <xf numFmtId="0" fontId="67" fillId="0" borderId="22" xfId="0" applyFont="1" applyBorder="1" applyAlignment="1">
      <alignment horizontal="center" vertical="center" wrapText="1"/>
    </xf>
    <xf numFmtId="0" fontId="69" fillId="0" borderId="33" xfId="0" applyFont="1" applyBorder="1" applyAlignment="1">
      <alignment horizontal="center" vertical="center"/>
    </xf>
    <xf numFmtId="0" fontId="69" fillId="0" borderId="9" xfId="0" applyFont="1" applyBorder="1" applyAlignment="1">
      <alignment vertical="center"/>
    </xf>
    <xf numFmtId="0" fontId="68" fillId="0" borderId="9" xfId="0" applyFont="1" applyBorder="1" applyAlignment="1">
      <alignment horizontal="left" vertical="center"/>
    </xf>
    <xf numFmtId="49" fontId="68" fillId="0" borderId="9" xfId="0" applyNumberFormat="1" applyFont="1" applyBorder="1" applyAlignment="1">
      <alignment vertical="center"/>
    </xf>
    <xf numFmtId="0" fontId="66" fillId="0" borderId="47" xfId="0" applyFont="1" applyBorder="1" applyAlignment="1">
      <alignment vertical="center"/>
    </xf>
    <xf numFmtId="0" fontId="30" fillId="0" borderId="0" xfId="0" applyFont="1" applyAlignment="1">
      <alignment horizontal="center" vertical="center" wrapText="1"/>
    </xf>
    <xf numFmtId="0" fontId="65" fillId="0" borderId="0" xfId="0" applyFont="1" applyFill="1" applyAlignment="1">
      <alignment vertical="center"/>
    </xf>
    <xf numFmtId="3" fontId="64" fillId="0" borderId="0" xfId="0" applyNumberFormat="1" applyFont="1" applyFill="1" applyBorder="1" applyAlignment="1">
      <alignment vertical="center"/>
    </xf>
    <xf numFmtId="3" fontId="64" fillId="0" borderId="0" xfId="0" applyNumberFormat="1" applyFont="1" applyBorder="1" applyAlignment="1">
      <alignment vertical="center"/>
    </xf>
    <xf numFmtId="3" fontId="65" fillId="0" borderId="0" xfId="0" applyNumberFormat="1" applyFont="1" applyBorder="1" applyAlignment="1">
      <alignment vertical="center"/>
    </xf>
    <xf numFmtId="3" fontId="76" fillId="0" borderId="0" xfId="0" applyNumberFormat="1" applyFont="1" applyBorder="1" applyAlignment="1">
      <alignment vertical="center"/>
    </xf>
    <xf numFmtId="0" fontId="76" fillId="0" borderId="0" xfId="0" applyFont="1" applyFill="1" applyAlignment="1">
      <alignment vertical="center"/>
    </xf>
    <xf numFmtId="3" fontId="76" fillId="0" borderId="0" xfId="0" applyNumberFormat="1" applyFont="1" applyFill="1" applyBorder="1" applyAlignment="1">
      <alignment vertical="center"/>
    </xf>
    <xf numFmtId="0" fontId="68" fillId="0" borderId="7" xfId="0" applyFont="1" applyBorder="1" applyAlignment="1">
      <alignment horizontal="left" vertical="center" wrapText="1"/>
    </xf>
    <xf numFmtId="0" fontId="68" fillId="0" borderId="9" xfId="0" applyFont="1" applyBorder="1" applyAlignment="1">
      <alignment horizontal="left" vertical="center" wrapText="1"/>
    </xf>
    <xf numFmtId="0" fontId="66" fillId="0" borderId="9" xfId="0" applyFont="1" applyBorder="1" applyAlignment="1">
      <alignment horizontal="left" vertical="center" wrapText="1"/>
    </xf>
    <xf numFmtId="0" fontId="93" fillId="9" borderId="15" xfId="0" applyFont="1" applyFill="1" applyBorder="1" applyAlignment="1">
      <alignment horizontal="left" vertical="center" wrapText="1"/>
    </xf>
    <xf numFmtId="0" fontId="85" fillId="0" borderId="0" xfId="6" applyFont="1" applyAlignment="1">
      <alignment vertical="center"/>
    </xf>
    <xf numFmtId="0" fontId="85" fillId="0" borderId="0" xfId="6" applyFont="1" applyFill="1" applyAlignment="1">
      <alignment vertical="center"/>
    </xf>
    <xf numFmtId="0" fontId="94" fillId="0" borderId="0" xfId="6" applyFont="1" applyAlignment="1">
      <alignment vertical="center"/>
    </xf>
    <xf numFmtId="0" fontId="94" fillId="0" borderId="0" xfId="6" applyFont="1" applyFill="1" applyAlignment="1">
      <alignment vertical="center"/>
    </xf>
    <xf numFmtId="0" fontId="94" fillId="3" borderId="0" xfId="6" applyFont="1" applyFill="1" applyAlignment="1">
      <alignment vertical="center"/>
    </xf>
    <xf numFmtId="41" fontId="66" fillId="0" borderId="41" xfId="0" applyNumberFormat="1" applyFont="1" applyBorder="1" applyAlignment="1">
      <alignment horizontal="center" vertical="center" wrapText="1"/>
    </xf>
    <xf numFmtId="0" fontId="67" fillId="0" borderId="41" xfId="0" applyFont="1" applyBorder="1" applyAlignment="1">
      <alignment horizontal="center" vertical="center" wrapText="1"/>
    </xf>
    <xf numFmtId="0" fontId="67" fillId="0" borderId="23" xfId="0" applyFont="1" applyBorder="1" applyAlignment="1">
      <alignment horizontal="center" vertical="center" wrapText="1"/>
    </xf>
    <xf numFmtId="0" fontId="93" fillId="0" borderId="53" xfId="0" applyFont="1" applyBorder="1" applyAlignment="1">
      <alignment horizontal="center" vertical="center"/>
    </xf>
    <xf numFmtId="0" fontId="93" fillId="0" borderId="41" xfId="0" applyFont="1" applyBorder="1" applyAlignment="1">
      <alignment horizontal="center" vertical="center"/>
    </xf>
    <xf numFmtId="0" fontId="86" fillId="0" borderId="0" xfId="0" applyFont="1"/>
    <xf numFmtId="0" fontId="93" fillId="9" borderId="24" xfId="0" applyFont="1" applyFill="1" applyBorder="1" applyAlignment="1">
      <alignment horizontal="center" vertical="center"/>
    </xf>
    <xf numFmtId="0" fontId="86" fillId="9" borderId="22" xfId="0" applyFont="1" applyFill="1" applyBorder="1"/>
    <xf numFmtId="0" fontId="86" fillId="0" borderId="1" xfId="0" applyFont="1" applyBorder="1" applyAlignment="1">
      <alignment horizontal="center" vertical="center"/>
    </xf>
    <xf numFmtId="0" fontId="86" fillId="0" borderId="7" xfId="0" applyFont="1" applyBorder="1" applyAlignment="1">
      <alignment horizontal="left" vertical="center" indent="1"/>
    </xf>
    <xf numFmtId="41" fontId="86" fillId="0" borderId="7" xfId="0" applyNumberFormat="1" applyFont="1" applyBorder="1" applyAlignment="1">
      <alignment horizontal="right" vertical="center" indent="1"/>
    </xf>
    <xf numFmtId="0" fontId="86" fillId="0" borderId="7" xfId="0" applyFont="1" applyBorder="1"/>
    <xf numFmtId="0" fontId="86" fillId="0" borderId="8" xfId="0" applyFont="1" applyBorder="1"/>
    <xf numFmtId="0" fontId="86" fillId="0" borderId="33" xfId="0" applyFont="1" applyBorder="1" applyAlignment="1">
      <alignment horizontal="center" vertical="center"/>
    </xf>
    <xf numFmtId="0" fontId="86" fillId="0" borderId="9" xfId="0" applyFont="1" applyBorder="1" applyAlignment="1">
      <alignment horizontal="left" vertical="center" indent="1"/>
    </xf>
    <xf numFmtId="0" fontId="86" fillId="0" borderId="3" xfId="0" applyFont="1" applyBorder="1"/>
    <xf numFmtId="49" fontId="96" fillId="0" borderId="5" xfId="0" applyNumberFormat="1" applyFont="1" applyBorder="1" applyAlignment="1">
      <alignment horizontal="center" vertical="center"/>
    </xf>
    <xf numFmtId="0" fontId="96" fillId="0" borderId="18" xfId="0" applyFont="1" applyBorder="1" applyAlignment="1">
      <alignment horizontal="left" vertical="center" indent="3"/>
    </xf>
    <xf numFmtId="41" fontId="96" fillId="25" borderId="18" xfId="0" applyNumberFormat="1" applyFont="1" applyFill="1" applyBorder="1" applyAlignment="1">
      <alignment horizontal="right" vertical="center" indent="1"/>
    </xf>
    <xf numFmtId="0" fontId="96" fillId="0" borderId="18" xfId="0" applyFont="1" applyBorder="1"/>
    <xf numFmtId="41" fontId="96" fillId="25" borderId="10" xfId="0" applyNumberFormat="1" applyFont="1" applyFill="1" applyBorder="1" applyAlignment="1">
      <alignment horizontal="right" vertical="center" indent="1"/>
    </xf>
    <xf numFmtId="0" fontId="96" fillId="0" borderId="46" xfId="0" applyFont="1" applyBorder="1"/>
    <xf numFmtId="0" fontId="96" fillId="0" borderId="0" xfId="0" applyFont="1"/>
    <xf numFmtId="49" fontId="96" fillId="0" borderId="88" xfId="0" applyNumberFormat="1" applyFont="1" applyBorder="1" applyAlignment="1">
      <alignment horizontal="center" vertical="center"/>
    </xf>
    <xf numFmtId="0" fontId="96" fillId="0" borderId="12" xfId="0" applyFont="1" applyBorder="1" applyAlignment="1">
      <alignment horizontal="left" vertical="center" indent="3"/>
    </xf>
    <xf numFmtId="41" fontId="96" fillId="25" borderId="12" xfId="0" applyNumberFormat="1" applyFont="1" applyFill="1" applyBorder="1" applyAlignment="1">
      <alignment horizontal="right" vertical="center" indent="1"/>
    </xf>
    <xf numFmtId="41" fontId="96" fillId="25" borderId="47" xfId="0" applyNumberFormat="1" applyFont="1" applyFill="1" applyBorder="1" applyAlignment="1">
      <alignment horizontal="right" vertical="center" indent="1"/>
    </xf>
    <xf numFmtId="0" fontId="96" fillId="0" borderId="86" xfId="0" applyFont="1" applyBorder="1"/>
    <xf numFmtId="49" fontId="96" fillId="0" borderId="89" xfId="0" applyNumberFormat="1" applyFont="1" applyBorder="1" applyAlignment="1">
      <alignment horizontal="center" vertical="center"/>
    </xf>
    <xf numFmtId="49" fontId="96" fillId="0" borderId="1" xfId="0" applyNumberFormat="1" applyFont="1" applyBorder="1" applyAlignment="1">
      <alignment horizontal="center" vertical="center"/>
    </xf>
    <xf numFmtId="0" fontId="96" fillId="0" borderId="13" xfId="0" applyFont="1" applyBorder="1" applyAlignment="1">
      <alignment horizontal="left" vertical="center" indent="3"/>
    </xf>
    <xf numFmtId="41" fontId="96" fillId="25" borderId="7" xfId="0" applyNumberFormat="1" applyFont="1" applyFill="1" applyBorder="1" applyAlignment="1">
      <alignment horizontal="right" vertical="center" indent="1"/>
    </xf>
    <xf numFmtId="0" fontId="96" fillId="0" borderId="43" xfId="0" applyFont="1" applyBorder="1"/>
    <xf numFmtId="0" fontId="86" fillId="0" borderId="9" xfId="0" applyFont="1" applyBorder="1"/>
    <xf numFmtId="0" fontId="86" fillId="0" borderId="9" xfId="0" applyFont="1" applyBorder="1" applyAlignment="1">
      <alignment horizontal="left" vertical="center" wrapText="1" indent="1"/>
    </xf>
    <xf numFmtId="0" fontId="96" fillId="0" borderId="9" xfId="0" applyFont="1" applyBorder="1"/>
    <xf numFmtId="0" fontId="96" fillId="0" borderId="3" xfId="0" applyFont="1" applyBorder="1"/>
    <xf numFmtId="0" fontId="86" fillId="0" borderId="2" xfId="0" applyFont="1" applyFill="1" applyBorder="1" applyAlignment="1" applyProtection="1">
      <alignment horizontal="left" vertical="center" wrapText="1" indent="1"/>
      <protection locked="0"/>
    </xf>
    <xf numFmtId="41" fontId="86" fillId="0" borderId="18" xfId="0" applyNumberFormat="1" applyFont="1" applyBorder="1" applyAlignment="1">
      <alignment horizontal="right" vertical="center" indent="1"/>
    </xf>
    <xf numFmtId="0" fontId="86" fillId="0" borderId="18" xfId="0" applyFont="1" applyBorder="1"/>
    <xf numFmtId="0" fontId="86" fillId="0" borderId="46" xfId="0" applyFont="1" applyBorder="1"/>
    <xf numFmtId="0" fontId="93" fillId="9" borderId="15" xfId="0" applyFont="1" applyFill="1" applyBorder="1" applyAlignment="1">
      <alignment vertical="center" wrapText="1"/>
    </xf>
    <xf numFmtId="0" fontId="93" fillId="0" borderId="0" xfId="0" applyFont="1"/>
    <xf numFmtId="0" fontId="86" fillId="0" borderId="9" xfId="0" applyFont="1" applyFill="1" applyBorder="1" applyAlignment="1">
      <alignment horizontal="left" vertical="center" wrapText="1" indent="1"/>
    </xf>
    <xf numFmtId="0" fontId="86" fillId="0" borderId="18" xfId="0" applyFont="1" applyFill="1" applyBorder="1" applyAlignment="1">
      <alignment horizontal="left" vertical="center" wrapText="1" indent="1"/>
    </xf>
    <xf numFmtId="41" fontId="86" fillId="25" borderId="18" xfId="0" applyNumberFormat="1" applyFont="1" applyFill="1" applyBorder="1" applyAlignment="1">
      <alignment horizontal="right" vertical="center" indent="1"/>
    </xf>
    <xf numFmtId="0" fontId="93" fillId="9" borderId="14" xfId="0" applyFont="1" applyFill="1" applyBorder="1" applyAlignment="1">
      <alignment vertical="center"/>
    </xf>
    <xf numFmtId="0" fontId="98" fillId="9" borderId="6" xfId="50" applyFont="1" applyFill="1" applyBorder="1" applyAlignment="1">
      <alignment vertical="center"/>
    </xf>
    <xf numFmtId="41" fontId="98" fillId="9" borderId="15" xfId="50" applyNumberFormat="1" applyFont="1" applyFill="1" applyBorder="1" applyAlignment="1">
      <alignment horizontal="right" vertical="center" indent="1"/>
    </xf>
    <xf numFmtId="0" fontId="99" fillId="9" borderId="22" xfId="50" applyFont="1" applyFill="1" applyBorder="1"/>
    <xf numFmtId="3" fontId="68" fillId="0" borderId="8" xfId="0" applyNumberFormat="1" applyFont="1" applyBorder="1" applyAlignment="1">
      <alignment horizontal="right" vertical="center" indent="1"/>
    </xf>
    <xf numFmtId="0" fontId="68" fillId="0" borderId="0" xfId="0" applyFont="1" applyBorder="1" applyAlignment="1">
      <alignment vertical="center"/>
    </xf>
    <xf numFmtId="0" fontId="97" fillId="0" borderId="0" xfId="0" applyFont="1" applyBorder="1" applyAlignment="1">
      <alignment vertical="center"/>
    </xf>
    <xf numFmtId="171" fontId="7" fillId="0" borderId="0" xfId="0" applyNumberFormat="1" applyFont="1" applyAlignment="1">
      <alignment horizontal="center"/>
    </xf>
    <xf numFmtId="41" fontId="7" fillId="0" borderId="0" xfId="0" applyNumberFormat="1" applyFont="1" applyAlignment="1">
      <alignment horizontal="right"/>
    </xf>
    <xf numFmtId="3" fontId="52" fillId="0" borderId="0" xfId="4" applyNumberFormat="1" applyFont="1" applyBorder="1" applyAlignment="1">
      <alignment horizontal="center" vertical="center"/>
    </xf>
    <xf numFmtId="3" fontId="30" fillId="9" borderId="75" xfId="0" applyNumberFormat="1" applyFont="1" applyFill="1" applyBorder="1" applyAlignment="1">
      <alignment horizontal="right" vertical="center" indent="1"/>
    </xf>
    <xf numFmtId="0" fontId="30" fillId="0" borderId="15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41" fontId="87" fillId="3" borderId="9" xfId="4" applyNumberFormat="1" applyFont="1" applyFill="1" applyBorder="1" applyAlignment="1">
      <alignment horizontal="right" vertical="center" wrapText="1"/>
    </xf>
    <xf numFmtId="0" fontId="87" fillId="3" borderId="14" xfId="4" applyFont="1" applyFill="1" applyBorder="1" applyAlignment="1">
      <alignment horizontal="left" vertical="center" wrapText="1"/>
    </xf>
    <xf numFmtId="41" fontId="89" fillId="0" borderId="0" xfId="4" applyNumberFormat="1" applyFont="1" applyFill="1" applyAlignment="1">
      <alignment horizontal="right" indent="1"/>
    </xf>
    <xf numFmtId="41" fontId="66" fillId="0" borderId="55" xfId="0" applyNumberFormat="1" applyFont="1" applyBorder="1" applyAlignment="1">
      <alignment horizontal="center" vertical="center" wrapText="1"/>
    </xf>
    <xf numFmtId="49" fontId="66" fillId="0" borderId="24" xfId="0" applyNumberFormat="1" applyFont="1" applyBorder="1" applyAlignment="1">
      <alignment horizontal="center" vertical="center"/>
    </xf>
    <xf numFmtId="0" fontId="66" fillId="0" borderId="15" xfId="0" applyFont="1" applyBorder="1" applyAlignment="1">
      <alignment vertical="center"/>
    </xf>
    <xf numFmtId="41" fontId="66" fillId="0" borderId="75" xfId="0" applyNumberFormat="1" applyFont="1" applyBorder="1" applyAlignment="1">
      <alignment horizontal="center" vertical="center" wrapText="1"/>
    </xf>
    <xf numFmtId="41" fontId="67" fillId="0" borderId="15" xfId="0" applyNumberFormat="1" applyFont="1" applyBorder="1" applyAlignment="1">
      <alignment horizontal="center" vertical="center" wrapText="1"/>
    </xf>
    <xf numFmtId="41" fontId="67" fillId="0" borderId="22" xfId="0" applyNumberFormat="1" applyFont="1" applyBorder="1" applyAlignment="1">
      <alignment horizontal="center" vertical="center" wrapText="1"/>
    </xf>
    <xf numFmtId="41" fontId="66" fillId="9" borderId="15" xfId="0" applyNumberFormat="1" applyFont="1" applyFill="1" applyBorder="1" applyAlignment="1">
      <alignment horizontal="right" vertical="center"/>
    </xf>
    <xf numFmtId="49" fontId="83" fillId="9" borderId="24" xfId="0" applyNumberFormat="1" applyFont="1" applyFill="1" applyBorder="1" applyAlignment="1">
      <alignment horizontal="center" vertical="center"/>
    </xf>
    <xf numFmtId="41" fontId="72" fillId="0" borderId="75" xfId="0" applyNumberFormat="1" applyFont="1" applyBorder="1" applyAlignment="1">
      <alignment horizontal="center" vertical="center" wrapText="1"/>
    </xf>
    <xf numFmtId="0" fontId="103" fillId="0" borderId="0" xfId="0" applyFont="1"/>
    <xf numFmtId="0" fontId="86" fillId="0" borderId="0" xfId="0" applyFont="1" applyAlignment="1">
      <alignment horizontal="center" vertical="center"/>
    </xf>
    <xf numFmtId="49" fontId="94" fillId="9" borderId="24" xfId="0" applyNumberFormat="1" applyFont="1" applyFill="1" applyBorder="1" applyAlignment="1">
      <alignment horizontal="center" vertical="center"/>
    </xf>
    <xf numFmtId="0" fontId="93" fillId="0" borderId="0" xfId="0" applyFont="1" applyAlignment="1">
      <alignment horizontal="center" vertical="center"/>
    </xf>
    <xf numFmtId="49" fontId="94" fillId="0" borderId="1" xfId="0" applyNumberFormat="1" applyFont="1" applyBorder="1" applyAlignment="1">
      <alignment horizontal="center" vertical="center"/>
    </xf>
    <xf numFmtId="0" fontId="93" fillId="0" borderId="7" xfId="0" applyFont="1" applyBorder="1" applyAlignment="1">
      <alignment vertical="center" wrapText="1"/>
    </xf>
    <xf numFmtId="0" fontId="94" fillId="0" borderId="0" xfId="0" applyFont="1" applyAlignment="1">
      <alignment vertical="center"/>
    </xf>
    <xf numFmtId="49" fontId="94" fillId="0" borderId="33" xfId="0" applyNumberFormat="1" applyFont="1" applyBorder="1" applyAlignment="1">
      <alignment horizontal="center" vertical="center"/>
    </xf>
    <xf numFmtId="0" fontId="93" fillId="0" borderId="9" xfId="0" applyFont="1" applyBorder="1" applyAlignment="1">
      <alignment vertical="center" wrapText="1"/>
    </xf>
    <xf numFmtId="49" fontId="85" fillId="0" borderId="33" xfId="0" applyNumberFormat="1" applyFont="1" applyBorder="1" applyAlignment="1">
      <alignment horizontal="center" vertical="center"/>
    </xf>
    <xf numFmtId="0" fontId="85" fillId="0" borderId="0" xfId="0" applyFont="1" applyAlignment="1">
      <alignment vertical="center"/>
    </xf>
    <xf numFmtId="0" fontId="85" fillId="0" borderId="0" xfId="0" applyFont="1" applyAlignment="1">
      <alignment horizontal="center" vertical="center"/>
    </xf>
    <xf numFmtId="0" fontId="104" fillId="0" borderId="9" xfId="0" applyFont="1" applyBorder="1" applyAlignment="1">
      <alignment horizontal="left" vertical="center" wrapText="1" indent="1"/>
    </xf>
    <xf numFmtId="0" fontId="93" fillId="0" borderId="9" xfId="0" applyFont="1" applyFill="1" applyBorder="1" applyAlignment="1">
      <alignment vertical="center" wrapText="1"/>
    </xf>
    <xf numFmtId="0" fontId="93" fillId="0" borderId="9" xfId="0" applyFont="1" applyBorder="1" applyAlignment="1">
      <alignment vertical="center"/>
    </xf>
    <xf numFmtId="49" fontId="86" fillId="0" borderId="9" xfId="0" applyNumberFormat="1" applyFont="1" applyBorder="1" applyAlignment="1">
      <alignment horizontal="left" vertical="center" wrapText="1" indent="1"/>
    </xf>
    <xf numFmtId="49" fontId="86" fillId="0" borderId="9" xfId="0" applyNumberFormat="1" applyFont="1" applyBorder="1" applyAlignment="1">
      <alignment horizontal="left" vertical="center" indent="1"/>
    </xf>
    <xf numFmtId="49" fontId="85" fillId="0" borderId="5" xfId="0" applyNumberFormat="1" applyFont="1" applyBorder="1" applyAlignment="1">
      <alignment horizontal="center" vertical="center"/>
    </xf>
    <xf numFmtId="0" fontId="93" fillId="0" borderId="7" xfId="0" applyFont="1" applyBorder="1" applyAlignment="1">
      <alignment vertical="center"/>
    </xf>
    <xf numFmtId="0" fontId="86" fillId="0" borderId="9" xfId="0" applyNumberFormat="1" applyFont="1" applyBorder="1" applyAlignment="1">
      <alignment horizontal="left" vertical="center" wrapText="1" indent="1"/>
    </xf>
    <xf numFmtId="0" fontId="93" fillId="9" borderId="15" xfId="0" applyFont="1" applyFill="1" applyBorder="1" applyAlignment="1">
      <alignment vertical="center"/>
    </xf>
    <xf numFmtId="49" fontId="94" fillId="0" borderId="45" xfId="0" applyNumberFormat="1" applyFont="1" applyBorder="1" applyAlignment="1">
      <alignment horizontal="center" vertical="center"/>
    </xf>
    <xf numFmtId="0" fontId="93" fillId="0" borderId="16" xfId="0" applyFont="1" applyBorder="1" applyAlignment="1">
      <alignment vertical="center"/>
    </xf>
    <xf numFmtId="49" fontId="95" fillId="0" borderId="33" xfId="0" applyNumberFormat="1" applyFont="1" applyBorder="1" applyAlignment="1">
      <alignment horizontal="center" vertical="center"/>
    </xf>
    <xf numFmtId="0" fontId="96" fillId="0" borderId="9" xfId="0" applyFont="1" applyBorder="1" applyAlignment="1">
      <alignment horizontal="left" vertical="center" indent="1"/>
    </xf>
    <xf numFmtId="0" fontId="93" fillId="0" borderId="9" xfId="0" applyFont="1" applyBorder="1" applyAlignment="1">
      <alignment horizontal="left" vertical="center"/>
    </xf>
    <xf numFmtId="49" fontId="85" fillId="0" borderId="35" xfId="0" applyNumberFormat="1" applyFont="1" applyBorder="1" applyAlignment="1">
      <alignment horizontal="center" vertical="center"/>
    </xf>
    <xf numFmtId="49" fontId="93" fillId="9" borderId="24" xfId="0" applyNumberFormat="1" applyFont="1" applyFill="1" applyBorder="1" applyAlignment="1">
      <alignment horizontal="center" vertical="center"/>
    </xf>
    <xf numFmtId="0" fontId="95" fillId="0" borderId="0" xfId="0" applyFont="1" applyAlignment="1">
      <alignment vertical="center"/>
    </xf>
    <xf numFmtId="0" fontId="93" fillId="0" borderId="48" xfId="0" applyFont="1" applyBorder="1" applyAlignment="1">
      <alignment vertical="center" wrapText="1"/>
    </xf>
    <xf numFmtId="49" fontId="86" fillId="0" borderId="18" xfId="0" applyNumberFormat="1" applyFont="1" applyBorder="1" applyAlignment="1">
      <alignment horizontal="left" vertical="center" wrapText="1" indent="1"/>
    </xf>
    <xf numFmtId="49" fontId="93" fillId="0" borderId="7" xfId="0" applyNumberFormat="1" applyFont="1" applyBorder="1" applyAlignment="1">
      <alignment vertical="center" wrapText="1"/>
    </xf>
    <xf numFmtId="49" fontId="86" fillId="0" borderId="9" xfId="0" applyNumberFormat="1" applyFont="1" applyFill="1" applyBorder="1" applyAlignment="1">
      <alignment horizontal="left" vertical="center" indent="1"/>
    </xf>
    <xf numFmtId="49" fontId="93" fillId="0" borderId="9" xfId="0" applyNumberFormat="1" applyFont="1" applyBorder="1" applyAlignment="1">
      <alignment vertical="center"/>
    </xf>
    <xf numFmtId="49" fontId="86" fillId="0" borderId="18" xfId="0" applyNumberFormat="1" applyFont="1" applyBorder="1" applyAlignment="1">
      <alignment horizontal="left" vertical="center" indent="1"/>
    </xf>
    <xf numFmtId="0" fontId="85" fillId="0" borderId="0" xfId="0" applyFont="1" applyBorder="1" applyAlignment="1">
      <alignment vertical="center"/>
    </xf>
    <xf numFmtId="49" fontId="94" fillId="9" borderId="14" xfId="0" applyNumberFormat="1" applyFont="1" applyFill="1" applyBorder="1" applyAlignment="1">
      <alignment horizontal="left" vertical="center"/>
    </xf>
    <xf numFmtId="0" fontId="93" fillId="9" borderId="6" xfId="0" applyFont="1" applyFill="1" applyBorder="1" applyAlignment="1">
      <alignment horizontal="left" vertical="center"/>
    </xf>
    <xf numFmtId="0" fontId="94" fillId="0" borderId="0" xfId="0" applyFont="1" applyFill="1" applyBorder="1" applyAlignment="1">
      <alignment vertical="center"/>
    </xf>
    <xf numFmtId="0" fontId="105" fillId="0" borderId="0" xfId="0" applyFont="1" applyAlignment="1">
      <alignment vertical="center"/>
    </xf>
    <xf numFmtId="0" fontId="105" fillId="0" borderId="0" xfId="0" applyFont="1"/>
    <xf numFmtId="41" fontId="105" fillId="0" borderId="0" xfId="0" applyNumberFormat="1" applyFont="1" applyAlignment="1">
      <alignment vertical="center"/>
    </xf>
    <xf numFmtId="0" fontId="106" fillId="0" borderId="0" xfId="0" applyFont="1" applyAlignment="1">
      <alignment vertical="center"/>
    </xf>
    <xf numFmtId="0" fontId="107" fillId="0" borderId="0" xfId="0" applyFont="1" applyAlignment="1">
      <alignment vertical="center"/>
    </xf>
    <xf numFmtId="49" fontId="105" fillId="0" borderId="0" xfId="0" applyNumberFormat="1" applyFont="1" applyAlignment="1">
      <alignment horizontal="center" vertical="center"/>
    </xf>
    <xf numFmtId="0" fontId="86" fillId="0" borderId="0" xfId="0" applyFont="1" applyAlignment="1">
      <alignment vertical="center"/>
    </xf>
    <xf numFmtId="41" fontId="103" fillId="0" borderId="0" xfId="0" applyNumberFormat="1" applyFont="1" applyAlignment="1">
      <alignment horizontal="center"/>
    </xf>
    <xf numFmtId="41" fontId="105" fillId="0" borderId="0" xfId="0" applyNumberFormat="1" applyFont="1"/>
    <xf numFmtId="41" fontId="105" fillId="0" borderId="0" xfId="0" applyNumberFormat="1" applyFont="1" applyAlignment="1">
      <alignment horizontal="center"/>
    </xf>
    <xf numFmtId="41" fontId="103" fillId="0" borderId="0" xfId="0" applyNumberFormat="1" applyFont="1"/>
    <xf numFmtId="49" fontId="103" fillId="0" borderId="0" xfId="0" applyNumberFormat="1" applyFont="1" applyAlignment="1">
      <alignment horizontal="center" vertical="center"/>
    </xf>
    <xf numFmtId="0" fontId="66" fillId="0" borderId="16" xfId="4" applyFont="1" applyBorder="1" applyAlignment="1">
      <alignment horizontal="center" vertical="center" wrapText="1"/>
    </xf>
    <xf numFmtId="0" fontId="66" fillId="0" borderId="15" xfId="0" applyFont="1" applyBorder="1" applyAlignment="1">
      <alignment horizontal="center" vertical="center" wrapText="1"/>
    </xf>
    <xf numFmtId="49" fontId="68" fillId="0" borderId="7" xfId="0" applyNumberFormat="1" applyFont="1" applyBorder="1" applyAlignment="1">
      <alignment vertical="center"/>
    </xf>
    <xf numFmtId="0" fontId="66" fillId="0" borderId="28" xfId="0" applyFont="1" applyBorder="1" applyAlignment="1">
      <alignment horizontal="center" vertical="center" wrapText="1"/>
    </xf>
    <xf numFmtId="0" fontId="66" fillId="0" borderId="23" xfId="0" applyFont="1" applyBorder="1" applyAlignment="1">
      <alignment horizontal="center" vertical="center" wrapText="1"/>
    </xf>
    <xf numFmtId="3" fontId="66" fillId="0" borderId="0" xfId="0" applyNumberFormat="1" applyFont="1" applyAlignment="1">
      <alignment horizontal="center" vertical="center" wrapText="1"/>
    </xf>
    <xf numFmtId="3" fontId="69" fillId="0" borderId="2" xfId="0" applyNumberFormat="1" applyFont="1" applyFill="1" applyBorder="1" applyAlignment="1">
      <alignment vertical="center"/>
    </xf>
    <xf numFmtId="3" fontId="69" fillId="0" borderId="3" xfId="0" applyNumberFormat="1" applyFont="1" applyFill="1" applyBorder="1" applyAlignment="1">
      <alignment vertical="center"/>
    </xf>
    <xf numFmtId="3" fontId="69" fillId="0" borderId="0" xfId="0" applyNumberFormat="1" applyFont="1" applyFill="1" applyAlignment="1">
      <alignment vertical="center"/>
    </xf>
    <xf numFmtId="3" fontId="68" fillId="0" borderId="72" xfId="0" applyNumberFormat="1" applyFont="1" applyBorder="1" applyAlignment="1">
      <alignment horizontal="right" vertical="center" indent="1"/>
    </xf>
    <xf numFmtId="3" fontId="69" fillId="0" borderId="0" xfId="0" applyNumberFormat="1" applyFont="1" applyAlignment="1">
      <alignment vertical="center"/>
    </xf>
    <xf numFmtId="0" fontId="68" fillId="0" borderId="18" xfId="0" applyFont="1" applyBorder="1" applyAlignment="1">
      <alignment horizontal="left" vertical="center" wrapText="1"/>
    </xf>
    <xf numFmtId="0" fontId="66" fillId="0" borderId="15" xfId="0" applyFont="1" applyBorder="1" applyAlignment="1">
      <alignment horizontal="left" vertical="center" wrapText="1"/>
    </xf>
    <xf numFmtId="49" fontId="67" fillId="9" borderId="51" xfId="0" applyNumberFormat="1" applyFont="1" applyFill="1" applyBorder="1" applyAlignment="1">
      <alignment horizontal="center" vertical="center"/>
    </xf>
    <xf numFmtId="3" fontId="69" fillId="0" borderId="25" xfId="0" applyNumberFormat="1" applyFont="1" applyFill="1" applyBorder="1" applyAlignment="1">
      <alignment vertical="center"/>
    </xf>
    <xf numFmtId="0" fontId="67" fillId="9" borderId="52" xfId="0" applyFont="1" applyFill="1" applyBorder="1" applyAlignment="1">
      <alignment horizontal="left" vertical="center" wrapText="1" indent="1"/>
    </xf>
    <xf numFmtId="3" fontId="92" fillId="0" borderId="2" xfId="0" applyNumberFormat="1" applyFont="1" applyBorder="1" applyAlignment="1">
      <alignment vertical="center"/>
    </xf>
    <xf numFmtId="3" fontId="92" fillId="0" borderId="3" xfId="0" applyNumberFormat="1" applyFont="1" applyBorder="1" applyAlignment="1">
      <alignment vertical="center"/>
    </xf>
    <xf numFmtId="3" fontId="83" fillId="0" borderId="2" xfId="0" applyNumberFormat="1" applyFont="1" applyFill="1" applyBorder="1" applyAlignment="1">
      <alignment vertical="center"/>
    </xf>
    <xf numFmtId="3" fontId="83" fillId="0" borderId="3" xfId="0" applyNumberFormat="1" applyFont="1" applyFill="1" applyBorder="1" applyAlignment="1">
      <alignment vertical="center"/>
    </xf>
    <xf numFmtId="0" fontId="67" fillId="9" borderId="24" xfId="0" applyFont="1" applyFill="1" applyBorder="1" applyAlignment="1">
      <alignment horizontal="center" vertical="center"/>
    </xf>
    <xf numFmtId="0" fontId="83" fillId="9" borderId="15" xfId="0" applyFont="1" applyFill="1" applyBorder="1" applyAlignment="1">
      <alignment horizontal="left" vertical="center" wrapText="1"/>
    </xf>
    <xf numFmtId="3" fontId="67" fillId="0" borderId="2" xfId="0" applyNumberFormat="1" applyFont="1" applyFill="1" applyBorder="1" applyAlignment="1">
      <alignment vertical="center"/>
    </xf>
    <xf numFmtId="3" fontId="67" fillId="0" borderId="25" xfId="0" applyNumberFormat="1" applyFont="1" applyFill="1" applyBorder="1" applyAlignment="1">
      <alignment vertical="center"/>
    </xf>
    <xf numFmtId="3" fontId="67" fillId="0" borderId="26" xfId="0" applyNumberFormat="1" applyFont="1" applyFill="1" applyBorder="1" applyAlignment="1">
      <alignment horizontal="right" vertical="center"/>
    </xf>
    <xf numFmtId="3" fontId="67" fillId="0" borderId="27" xfId="0" applyNumberFormat="1" applyFont="1" applyFill="1" applyBorder="1" applyAlignment="1">
      <alignment vertical="center"/>
    </xf>
    <xf numFmtId="0" fontId="67" fillId="0" borderId="53" xfId="0" applyFont="1" applyBorder="1" applyAlignment="1">
      <alignment vertical="center"/>
    </xf>
    <xf numFmtId="0" fontId="67" fillId="0" borderId="4" xfId="0" applyFont="1" applyBorder="1" applyAlignment="1">
      <alignment vertical="center"/>
    </xf>
    <xf numFmtId="0" fontId="16" fillId="0" borderId="16" xfId="0" applyFont="1" applyBorder="1" applyAlignment="1">
      <alignment horizontal="center" vertical="center" wrapText="1"/>
    </xf>
    <xf numFmtId="0" fontId="72" fillId="0" borderId="24" xfId="6" applyFont="1" applyBorder="1" applyAlignment="1">
      <alignment horizontal="center" vertical="center"/>
    </xf>
    <xf numFmtId="0" fontId="72" fillId="0" borderId="15" xfId="6" applyFont="1" applyBorder="1" applyAlignment="1">
      <alignment horizontal="center" vertical="center" wrapText="1"/>
    </xf>
    <xf numFmtId="0" fontId="72" fillId="0" borderId="16" xfId="0" applyFont="1" applyBorder="1" applyAlignment="1">
      <alignment horizontal="center" vertical="center" wrapText="1"/>
    </xf>
    <xf numFmtId="0" fontId="102" fillId="0" borderId="15" xfId="0" applyFont="1" applyBorder="1" applyAlignment="1">
      <alignment horizontal="center" vertical="center" wrapText="1"/>
    </xf>
    <xf numFmtId="0" fontId="102" fillId="0" borderId="22" xfId="0" applyFont="1" applyBorder="1" applyAlignment="1">
      <alignment horizontal="center" vertical="center" wrapText="1"/>
    </xf>
    <xf numFmtId="0" fontId="72" fillId="0" borderId="0" xfId="6" applyFont="1" applyBorder="1" applyAlignment="1">
      <alignment horizontal="center" vertical="center"/>
    </xf>
    <xf numFmtId="3" fontId="109" fillId="0" borderId="0" xfId="6" applyNumberFormat="1" applyFont="1" applyBorder="1" applyAlignment="1">
      <alignment vertical="center"/>
    </xf>
    <xf numFmtId="0" fontId="109" fillId="0" borderId="0" xfId="6" applyFont="1" applyBorder="1" applyAlignment="1">
      <alignment vertical="center"/>
    </xf>
    <xf numFmtId="49" fontId="108" fillId="3" borderId="24" xfId="6" applyNumberFormat="1" applyFont="1" applyFill="1" applyBorder="1" applyAlignment="1">
      <alignment horizontal="center" vertical="center"/>
    </xf>
    <xf numFmtId="3" fontId="109" fillId="0" borderId="0" xfId="6" applyNumberFormat="1" applyFont="1" applyFill="1" applyBorder="1" applyAlignment="1">
      <alignment vertical="center"/>
    </xf>
    <xf numFmtId="0" fontId="109" fillId="0" borderId="0" xfId="6" applyFont="1" applyFill="1" applyBorder="1" applyAlignment="1">
      <alignment vertical="center"/>
    </xf>
    <xf numFmtId="0" fontId="112" fillId="8" borderId="1" xfId="6" applyFont="1" applyFill="1" applyBorder="1" applyAlignment="1">
      <alignment horizontal="center" vertical="center"/>
    </xf>
    <xf numFmtId="0" fontId="110" fillId="8" borderId="72" xfId="6" applyFont="1" applyFill="1" applyBorder="1" applyAlignment="1">
      <alignment vertical="center" wrapText="1"/>
    </xf>
    <xf numFmtId="3" fontId="112" fillId="0" borderId="0" xfId="6" applyNumberFormat="1" applyFont="1" applyAlignment="1">
      <alignment vertical="center"/>
    </xf>
    <xf numFmtId="0" fontId="112" fillId="0" borderId="0" xfId="6" applyFont="1" applyAlignment="1">
      <alignment vertical="center"/>
    </xf>
    <xf numFmtId="0" fontId="112" fillId="0" borderId="33" xfId="6" applyFont="1" applyBorder="1" applyAlignment="1">
      <alignment horizontal="center" vertical="center"/>
    </xf>
    <xf numFmtId="0" fontId="112" fillId="0" borderId="9" xfId="6" applyFont="1" applyBorder="1" applyAlignment="1">
      <alignment vertical="center" wrapText="1"/>
    </xf>
    <xf numFmtId="0" fontId="112" fillId="8" borderId="33" xfId="6" applyFont="1" applyFill="1" applyBorder="1" applyAlignment="1">
      <alignment horizontal="center" vertical="center"/>
    </xf>
    <xf numFmtId="0" fontId="110" fillId="5" borderId="25" xfId="6" applyFont="1" applyFill="1" applyBorder="1" applyAlignment="1">
      <alignment vertical="center" wrapText="1"/>
    </xf>
    <xf numFmtId="0" fontId="112" fillId="0" borderId="5" xfId="6" applyFont="1" applyBorder="1" applyAlignment="1">
      <alignment horizontal="center" vertical="center"/>
    </xf>
    <xf numFmtId="0" fontId="112" fillId="0" borderId="18" xfId="6" applyFont="1" applyBorder="1" applyAlignment="1">
      <alignment vertical="center" wrapText="1"/>
    </xf>
    <xf numFmtId="0" fontId="110" fillId="3" borderId="15" xfId="6" applyFont="1" applyFill="1" applyBorder="1" applyAlignment="1">
      <alignment vertical="center" wrapText="1"/>
    </xf>
    <xf numFmtId="0" fontId="110" fillId="0" borderId="0" xfId="6" applyFont="1" applyFill="1" applyAlignment="1">
      <alignment vertical="center"/>
    </xf>
    <xf numFmtId="0" fontId="110" fillId="5" borderId="72" xfId="6" applyFont="1" applyFill="1" applyBorder="1" applyAlignment="1">
      <alignment vertical="center" wrapText="1"/>
    </xf>
    <xf numFmtId="0" fontId="112" fillId="0" borderId="0" xfId="6" applyFont="1" applyFill="1" applyAlignment="1">
      <alignment vertical="center"/>
    </xf>
    <xf numFmtId="0" fontId="110" fillId="3" borderId="0" xfId="6" applyFont="1" applyFill="1" applyAlignment="1">
      <alignment vertical="center"/>
    </xf>
    <xf numFmtId="0" fontId="112" fillId="8" borderId="1" xfId="0" applyFont="1" applyFill="1" applyBorder="1" applyAlignment="1">
      <alignment horizontal="center" vertical="center"/>
    </xf>
    <xf numFmtId="0" fontId="112" fillId="0" borderId="0" xfId="0" applyFont="1" applyAlignment="1">
      <alignment vertical="center"/>
    </xf>
    <xf numFmtId="0" fontId="112" fillId="0" borderId="33" xfId="0" applyFont="1" applyBorder="1" applyAlignment="1">
      <alignment horizontal="center" vertical="center"/>
    </xf>
    <xf numFmtId="0" fontId="112" fillId="0" borderId="33" xfId="6" applyFont="1" applyFill="1" applyBorder="1" applyAlignment="1">
      <alignment horizontal="center" vertical="center"/>
    </xf>
    <xf numFmtId="0" fontId="112" fillId="0" borderId="5" xfId="6" applyFont="1" applyFill="1" applyBorder="1" applyAlignment="1">
      <alignment horizontal="center" vertical="center"/>
    </xf>
    <xf numFmtId="0" fontId="110" fillId="0" borderId="0" xfId="6" applyFont="1" applyAlignment="1">
      <alignment vertical="center"/>
    </xf>
    <xf numFmtId="0" fontId="117" fillId="0" borderId="0" xfId="6" applyFont="1" applyAlignment="1">
      <alignment vertical="center"/>
    </xf>
    <xf numFmtId="0" fontId="112" fillId="0" borderId="35" xfId="6" applyFont="1" applyBorder="1" applyAlignment="1">
      <alignment horizontal="center" vertical="center"/>
    </xf>
    <xf numFmtId="0" fontId="112" fillId="0" borderId="20" xfId="6" applyFont="1" applyBorder="1" applyAlignment="1">
      <alignment vertical="center" wrapText="1"/>
    </xf>
    <xf numFmtId="0" fontId="119" fillId="0" borderId="0" xfId="6" applyFont="1" applyAlignment="1">
      <alignment vertical="center"/>
    </xf>
    <xf numFmtId="0" fontId="112" fillId="0" borderId="1" xfId="6" applyFont="1" applyBorder="1" applyAlignment="1">
      <alignment horizontal="center" vertical="center"/>
    </xf>
    <xf numFmtId="0" fontId="109" fillId="0" borderId="7" xfId="0" applyFont="1" applyBorder="1" applyAlignment="1">
      <alignment horizontal="left" vertical="center" wrapText="1"/>
    </xf>
    <xf numFmtId="0" fontId="109" fillId="0" borderId="9" xfId="0" applyFont="1" applyBorder="1" applyAlignment="1">
      <alignment horizontal="left" vertical="center" wrapText="1"/>
    </xf>
    <xf numFmtId="0" fontId="108" fillId="0" borderId="9" xfId="0" applyFont="1" applyBorder="1" applyAlignment="1">
      <alignment horizontal="left" vertical="center" wrapText="1"/>
    </xf>
    <xf numFmtId="0" fontId="110" fillId="0" borderId="33" xfId="6" applyFont="1" applyBorder="1" applyAlignment="1">
      <alignment horizontal="center" vertical="center"/>
    </xf>
    <xf numFmtId="0" fontId="109" fillId="0" borderId="25" xfId="0" applyFont="1" applyFill="1" applyBorder="1" applyAlignment="1">
      <alignment horizontal="left" vertical="center" wrapText="1"/>
    </xf>
    <xf numFmtId="0" fontId="120" fillId="0" borderId="48" xfId="0" applyFont="1" applyFill="1" applyBorder="1" applyAlignment="1">
      <alignment horizontal="left" vertical="center" wrapText="1"/>
    </xf>
    <xf numFmtId="0" fontId="120" fillId="0" borderId="2" xfId="0" applyFont="1" applyFill="1" applyBorder="1" applyAlignment="1">
      <alignment horizontal="left" vertical="center" wrapText="1"/>
    </xf>
    <xf numFmtId="0" fontId="109" fillId="0" borderId="25" xfId="0" applyFont="1" applyFill="1" applyBorder="1" applyAlignment="1">
      <alignment horizontal="left" vertical="center"/>
    </xf>
    <xf numFmtId="0" fontId="120" fillId="0" borderId="48" xfId="0" applyFont="1" applyFill="1" applyBorder="1" applyAlignment="1">
      <alignment horizontal="left" vertical="center"/>
    </xf>
    <xf numFmtId="0" fontId="120" fillId="0" borderId="2" xfId="0" applyFont="1" applyFill="1" applyBorder="1" applyAlignment="1">
      <alignment horizontal="left" vertical="center"/>
    </xf>
    <xf numFmtId="0" fontId="110" fillId="0" borderId="5" xfId="6" applyFont="1" applyBorder="1" applyAlignment="1">
      <alignment horizontal="center" vertical="center"/>
    </xf>
    <xf numFmtId="0" fontId="108" fillId="0" borderId="18" xfId="0" applyFont="1" applyBorder="1" applyAlignment="1">
      <alignment horizontal="left" vertical="center" wrapText="1"/>
    </xf>
    <xf numFmtId="0" fontId="112" fillId="9" borderId="24" xfId="6" applyFont="1" applyFill="1" applyBorder="1" applyAlignment="1">
      <alignment horizontal="center" vertical="center"/>
    </xf>
    <xf numFmtId="0" fontId="108" fillId="9" borderId="15" xfId="0" applyFont="1" applyFill="1" applyBorder="1" applyAlignment="1">
      <alignment horizontal="left" vertical="center" wrapText="1"/>
    </xf>
    <xf numFmtId="0" fontId="108" fillId="0" borderId="0" xfId="0" applyFont="1" applyBorder="1" applyAlignment="1">
      <alignment horizontal="center" vertical="center"/>
    </xf>
    <xf numFmtId="0" fontId="108" fillId="0" borderId="0" xfId="0" applyFont="1" applyBorder="1" applyAlignment="1">
      <alignment vertical="center" wrapText="1"/>
    </xf>
    <xf numFmtId="167" fontId="111" fillId="0" borderId="0" xfId="0" applyNumberFormat="1" applyFont="1" applyBorder="1" applyAlignment="1">
      <alignment horizontal="right" vertical="center"/>
    </xf>
    <xf numFmtId="167" fontId="108" fillId="0" borderId="0" xfId="0" applyNumberFormat="1" applyFont="1" applyAlignment="1">
      <alignment vertical="center"/>
    </xf>
    <xf numFmtId="0" fontId="108" fillId="0" borderId="0" xfId="0" applyFont="1" applyAlignment="1">
      <alignment vertical="center"/>
    </xf>
    <xf numFmtId="3" fontId="108" fillId="0" borderId="0" xfId="0" applyNumberFormat="1" applyFont="1" applyAlignment="1">
      <alignment vertical="center"/>
    </xf>
    <xf numFmtId="0" fontId="109" fillId="0" borderId="0" xfId="0" applyFont="1" applyAlignment="1">
      <alignment horizontal="center" vertical="center"/>
    </xf>
    <xf numFmtId="0" fontId="109" fillId="0" borderId="0" xfId="0" applyFont="1" applyAlignment="1">
      <alignment vertical="center" wrapText="1"/>
    </xf>
    <xf numFmtId="167" fontId="113" fillId="0" borderId="0" xfId="0" applyNumberFormat="1" applyFont="1" applyAlignment="1">
      <alignment vertical="center" wrapText="1"/>
    </xf>
    <xf numFmtId="0" fontId="109" fillId="0" borderId="0" xfId="0" applyFont="1" applyAlignment="1">
      <alignment vertical="center"/>
    </xf>
    <xf numFmtId="3" fontId="109" fillId="0" borderId="0" xfId="0" applyNumberFormat="1" applyFont="1" applyAlignment="1">
      <alignment vertical="center"/>
    </xf>
    <xf numFmtId="3" fontId="72" fillId="0" borderId="0" xfId="6" applyNumberFormat="1" applyFont="1" applyBorder="1" applyAlignment="1">
      <alignment horizontal="center" vertical="center"/>
    </xf>
    <xf numFmtId="0" fontId="112" fillId="8" borderId="45" xfId="6" applyFont="1" applyFill="1" applyBorder="1" applyAlignment="1">
      <alignment horizontal="center" vertical="center"/>
    </xf>
    <xf numFmtId="0" fontId="110" fillId="5" borderId="71" xfId="6" applyFont="1" applyFill="1" applyBorder="1" applyAlignment="1">
      <alignment vertical="center" wrapText="1"/>
    </xf>
    <xf numFmtId="0" fontId="112" fillId="0" borderId="35" xfId="0" applyFont="1" applyBorder="1" applyAlignment="1">
      <alignment horizontal="center" vertical="center"/>
    </xf>
    <xf numFmtId="0" fontId="85" fillId="8" borderId="1" xfId="6" applyFont="1" applyFill="1" applyBorder="1" applyAlignment="1">
      <alignment horizontal="center" vertical="center"/>
    </xf>
    <xf numFmtId="0" fontId="94" fillId="8" borderId="72" xfId="6" applyFont="1" applyFill="1" applyBorder="1" applyAlignment="1">
      <alignment vertical="center" wrapText="1"/>
    </xf>
    <xf numFmtId="3" fontId="85" fillId="0" borderId="0" xfId="6" applyNumberFormat="1" applyFont="1" applyAlignment="1">
      <alignment vertical="center"/>
    </xf>
    <xf numFmtId="3" fontId="94" fillId="0" borderId="0" xfId="6" applyNumberFormat="1" applyFont="1" applyAlignment="1">
      <alignment vertical="center"/>
    </xf>
    <xf numFmtId="3" fontId="68" fillId="0" borderId="0" xfId="0" applyNumberFormat="1" applyFont="1" applyAlignment="1">
      <alignment vertical="center"/>
    </xf>
    <xf numFmtId="0" fontId="86" fillId="0" borderId="72" xfId="0" applyFont="1" applyBorder="1" applyAlignment="1">
      <alignment vertical="center" wrapText="1"/>
    </xf>
    <xf numFmtId="0" fontId="86" fillId="0" borderId="25" xfId="0" applyFont="1" applyBorder="1" applyAlignment="1">
      <alignment vertical="center" wrapText="1"/>
    </xf>
    <xf numFmtId="0" fontId="86" fillId="0" borderId="9" xfId="0" applyFont="1" applyBorder="1" applyAlignment="1">
      <alignment vertical="center" wrapText="1"/>
    </xf>
    <xf numFmtId="0" fontId="86" fillId="0" borderId="18" xfId="0" applyFont="1" applyBorder="1" applyAlignment="1">
      <alignment vertical="center" wrapText="1"/>
    </xf>
    <xf numFmtId="0" fontId="93" fillId="8" borderId="14" xfId="0" applyFont="1" applyFill="1" applyBorder="1" applyAlignment="1">
      <alignment horizontal="center" vertical="center"/>
    </xf>
    <xf numFmtId="41" fontId="93" fillId="8" borderId="79" xfId="0" applyNumberFormat="1" applyFont="1" applyFill="1" applyBorder="1" applyAlignment="1">
      <alignment horizontal="center" vertical="center" wrapText="1"/>
    </xf>
    <xf numFmtId="0" fontId="86" fillId="0" borderId="1" xfId="0" applyFont="1" applyFill="1" applyBorder="1" applyAlignment="1">
      <alignment horizontal="center" vertical="center"/>
    </xf>
    <xf numFmtId="0" fontId="86" fillId="0" borderId="33" xfId="0" applyFont="1" applyFill="1" applyBorder="1" applyAlignment="1">
      <alignment horizontal="center" vertical="center"/>
    </xf>
    <xf numFmtId="0" fontId="93" fillId="0" borderId="70" xfId="0" applyFont="1" applyFill="1" applyBorder="1" applyAlignment="1">
      <alignment horizontal="center" vertical="center"/>
    </xf>
    <xf numFmtId="41" fontId="66" fillId="0" borderId="78" xfId="0" applyNumberFormat="1" applyFont="1" applyBorder="1" applyAlignment="1">
      <alignment horizontal="center" vertical="center" wrapText="1"/>
    </xf>
    <xf numFmtId="0" fontId="66" fillId="0" borderId="41" xfId="0" applyFont="1" applyFill="1" applyBorder="1" applyAlignment="1">
      <alignment horizontal="center" vertical="center" wrapText="1"/>
    </xf>
    <xf numFmtId="3" fontId="55" fillId="0" borderId="21" xfId="0" applyNumberFormat="1" applyFont="1" applyBorder="1" applyAlignment="1">
      <alignment horizontal="right" vertical="center" indent="1"/>
    </xf>
    <xf numFmtId="41" fontId="96" fillId="25" borderId="87" xfId="0" applyNumberFormat="1" applyFont="1" applyFill="1" applyBorder="1" applyAlignment="1">
      <alignment horizontal="right" vertical="center" indent="1"/>
    </xf>
    <xf numFmtId="0" fontId="30" fillId="0" borderId="75" xfId="0" applyFont="1" applyBorder="1" applyAlignment="1">
      <alignment horizontal="center" vertical="center" wrapText="1"/>
    </xf>
    <xf numFmtId="41" fontId="65" fillId="25" borderId="0" xfId="1" applyNumberFormat="1" applyFont="1" applyFill="1" applyBorder="1" applyAlignment="1">
      <alignment horizontal="right" vertical="center" indent="1"/>
    </xf>
    <xf numFmtId="41" fontId="65" fillId="25" borderId="25" xfId="1" applyNumberFormat="1" applyFont="1" applyFill="1" applyBorder="1" applyAlignment="1">
      <alignment horizontal="right" vertical="center" indent="1"/>
    </xf>
    <xf numFmtId="41" fontId="55" fillId="0" borderId="0" xfId="6" applyNumberFormat="1" applyFont="1" applyAlignment="1">
      <alignment vertical="center"/>
    </xf>
    <xf numFmtId="41" fontId="65" fillId="0" borderId="2" xfId="1" applyNumberFormat="1" applyFont="1" applyBorder="1" applyAlignment="1">
      <alignment horizontal="right" vertical="center" indent="1"/>
    </xf>
    <xf numFmtId="164" fontId="55" fillId="0" borderId="0" xfId="6" applyNumberFormat="1" applyFont="1" applyAlignment="1">
      <alignment vertical="center"/>
    </xf>
    <xf numFmtId="0" fontId="64" fillId="0" borderId="29" xfId="6" applyFont="1" applyBorder="1" applyAlignment="1">
      <alignment horizontal="center" vertical="center"/>
    </xf>
    <xf numFmtId="0" fontId="55" fillId="0" borderId="20" xfId="0" applyFont="1" applyFill="1" applyBorder="1" applyAlignment="1">
      <alignment horizontal="center" vertical="center" wrapText="1"/>
    </xf>
    <xf numFmtId="168" fontId="55" fillId="0" borderId="45" xfId="0" applyNumberFormat="1" applyFont="1" applyFill="1" applyBorder="1" applyAlignment="1">
      <alignment horizontal="center" vertical="center" wrapText="1"/>
    </xf>
    <xf numFmtId="0" fontId="55" fillId="0" borderId="16" xfId="0" applyFont="1" applyFill="1" applyBorder="1" applyAlignment="1">
      <alignment horizontal="left" vertical="center" wrapText="1"/>
    </xf>
    <xf numFmtId="14" fontId="55" fillId="0" borderId="16" xfId="0" applyNumberFormat="1" applyFont="1" applyFill="1" applyBorder="1" applyAlignment="1">
      <alignment horizontal="center" vertical="center" wrapText="1"/>
    </xf>
    <xf numFmtId="0" fontId="55" fillId="0" borderId="16" xfId="0" applyFont="1" applyFill="1" applyBorder="1" applyAlignment="1">
      <alignment horizontal="center" vertical="center" wrapText="1"/>
    </xf>
    <xf numFmtId="169" fontId="55" fillId="0" borderId="17" xfId="0" applyNumberFormat="1" applyFont="1" applyFill="1" applyBorder="1" applyAlignment="1">
      <alignment horizontal="right" vertical="center" wrapText="1" indent="2"/>
    </xf>
    <xf numFmtId="14" fontId="55" fillId="0" borderId="45" xfId="2" applyNumberFormat="1" applyFont="1" applyFill="1" applyBorder="1" applyAlignment="1">
      <alignment horizontal="center" vertical="center"/>
    </xf>
    <xf numFmtId="0" fontId="55" fillId="0" borderId="16" xfId="2" applyFont="1" applyFill="1" applyBorder="1" applyAlignment="1">
      <alignment horizontal="left" vertical="center" wrapText="1"/>
    </xf>
    <xf numFmtId="0" fontId="55" fillId="0" borderId="16" xfId="2" applyFont="1" applyFill="1" applyBorder="1" applyAlignment="1">
      <alignment horizontal="center" vertical="center" wrapText="1"/>
    </xf>
    <xf numFmtId="0" fontId="55" fillId="0" borderId="16" xfId="2" applyFont="1" applyFill="1" applyBorder="1" applyAlignment="1">
      <alignment horizontal="right" vertical="center" wrapText="1"/>
    </xf>
    <xf numFmtId="169" fontId="55" fillId="0" borderId="17" xfId="2" applyNumberFormat="1" applyFont="1" applyFill="1" applyBorder="1" applyAlignment="1">
      <alignment horizontal="right" vertical="center" wrapText="1" indent="2"/>
    </xf>
    <xf numFmtId="0" fontId="56" fillId="0" borderId="10" xfId="0" applyFont="1" applyBorder="1" applyAlignment="1">
      <alignment vertical="center"/>
    </xf>
    <xf numFmtId="0" fontId="56" fillId="0" borderId="7" xfId="0" applyFont="1" applyBorder="1" applyAlignment="1">
      <alignment vertical="center"/>
    </xf>
    <xf numFmtId="0" fontId="55" fillId="0" borderId="49" xfId="0" applyFont="1" applyFill="1" applyBorder="1" applyAlignment="1" applyProtection="1">
      <alignment horizontal="left" vertical="center" wrapText="1"/>
      <protection locked="0"/>
    </xf>
    <xf numFmtId="0" fontId="55" fillId="0" borderId="2" xfId="0" applyFont="1" applyFill="1" applyBorder="1" applyAlignment="1" applyProtection="1">
      <alignment horizontal="left" vertical="center" wrapText="1"/>
      <protection locked="0"/>
    </xf>
    <xf numFmtId="41" fontId="55" fillId="0" borderId="9" xfId="0" applyNumberFormat="1" applyFont="1" applyFill="1" applyBorder="1" applyAlignment="1" applyProtection="1">
      <alignment horizontal="right" vertical="center"/>
      <protection locked="0"/>
    </xf>
    <xf numFmtId="41" fontId="55" fillId="0" borderId="2" xfId="0" applyNumberFormat="1" applyFont="1" applyBorder="1" applyAlignment="1">
      <alignment horizontal="right" vertical="center"/>
    </xf>
    <xf numFmtId="41" fontId="55" fillId="0" borderId="9" xfId="0" applyNumberFormat="1" applyFont="1" applyBorder="1" applyAlignment="1">
      <alignment horizontal="right" vertical="center"/>
    </xf>
    <xf numFmtId="41" fontId="55" fillId="0" borderId="25" xfId="0" applyNumberFormat="1" applyFont="1" applyBorder="1" applyAlignment="1">
      <alignment horizontal="right" vertical="center"/>
    </xf>
    <xf numFmtId="49" fontId="56" fillId="0" borderId="10" xfId="0" applyNumberFormat="1" applyFont="1" applyFill="1" applyBorder="1" applyAlignment="1" applyProtection="1">
      <alignment horizontal="left" vertical="center" wrapText="1"/>
      <protection locked="0"/>
    </xf>
    <xf numFmtId="41" fontId="56" fillId="0" borderId="10" xfId="0" applyNumberFormat="1" applyFont="1" applyFill="1" applyBorder="1" applyAlignment="1" applyProtection="1">
      <alignment horizontal="right" vertical="center"/>
      <protection locked="0"/>
    </xf>
    <xf numFmtId="41" fontId="56" fillId="0" borderId="57" xfId="0" applyNumberFormat="1" applyFont="1" applyBorder="1" applyAlignment="1">
      <alignment horizontal="right" vertical="center"/>
    </xf>
    <xf numFmtId="41" fontId="56" fillId="0" borderId="10" xfId="0" applyNumberFormat="1" applyFont="1" applyBorder="1" applyAlignment="1">
      <alignment horizontal="right" vertical="center"/>
    </xf>
    <xf numFmtId="41" fontId="56" fillId="0" borderId="56" xfId="0" applyNumberFormat="1" applyFont="1" applyBorder="1" applyAlignment="1">
      <alignment horizontal="right" vertical="center"/>
    </xf>
    <xf numFmtId="41" fontId="56" fillId="0" borderId="91" xfId="0" applyNumberFormat="1" applyFont="1" applyBorder="1" applyAlignment="1">
      <alignment horizontal="right" vertical="center"/>
    </xf>
    <xf numFmtId="0" fontId="56" fillId="0" borderId="12" xfId="0" applyFont="1" applyFill="1" applyBorder="1" applyAlignment="1" applyProtection="1">
      <alignment horizontal="left" vertical="center" wrapText="1"/>
      <protection locked="0"/>
    </xf>
    <xf numFmtId="41" fontId="56" fillId="0" borderId="12" xfId="0" applyNumberFormat="1" applyFont="1" applyFill="1" applyBorder="1" applyAlignment="1" applyProtection="1">
      <alignment horizontal="right" vertical="center"/>
      <protection locked="0"/>
    </xf>
    <xf numFmtId="41" fontId="56" fillId="0" borderId="12" xfId="0" applyNumberFormat="1" applyFont="1" applyBorder="1" applyAlignment="1">
      <alignment horizontal="right" vertical="center"/>
    </xf>
    <xf numFmtId="41" fontId="56" fillId="0" borderId="92" xfId="0" applyNumberFormat="1" applyFont="1" applyBorder="1" applyAlignment="1">
      <alignment horizontal="right" vertical="center"/>
    </xf>
    <xf numFmtId="0" fontId="56" fillId="0" borderId="49" xfId="0" applyFont="1" applyFill="1" applyBorder="1" applyAlignment="1" applyProtection="1">
      <alignment horizontal="left" vertical="center" wrapText="1"/>
      <protection locked="0"/>
    </xf>
    <xf numFmtId="41" fontId="56" fillId="0" borderId="13" xfId="0" applyNumberFormat="1" applyFont="1" applyFill="1" applyBorder="1" applyAlignment="1" applyProtection="1">
      <alignment horizontal="right" vertical="center"/>
      <protection locked="0"/>
    </xf>
    <xf numFmtId="41" fontId="56" fillId="0" borderId="58" xfId="0" applyNumberFormat="1" applyFont="1" applyBorder="1" applyAlignment="1">
      <alignment horizontal="right" vertical="center"/>
    </xf>
    <xf numFmtId="41" fontId="56" fillId="0" borderId="13" xfId="0" applyNumberFormat="1" applyFont="1" applyBorder="1" applyAlignment="1">
      <alignment horizontal="right" vertical="center"/>
    </xf>
    <xf numFmtId="41" fontId="56" fillId="0" borderId="93" xfId="0" applyNumberFormat="1" applyFont="1" applyBorder="1" applyAlignment="1">
      <alignment horizontal="right" vertical="center"/>
    </xf>
    <xf numFmtId="0" fontId="56" fillId="0" borderId="18" xfId="0" applyFont="1" applyFill="1" applyBorder="1" applyAlignment="1" applyProtection="1">
      <alignment horizontal="left" vertical="center" wrapText="1"/>
      <protection locked="0"/>
    </xf>
    <xf numFmtId="41" fontId="56" fillId="0" borderId="18" xfId="0" applyNumberFormat="1" applyFont="1" applyFill="1" applyBorder="1" applyAlignment="1" applyProtection="1">
      <alignment horizontal="right" vertical="center"/>
      <protection locked="0"/>
    </xf>
    <xf numFmtId="41" fontId="56" fillId="0" borderId="2" xfId="0" applyNumberFormat="1" applyFont="1" applyBorder="1" applyAlignment="1">
      <alignment horizontal="right" vertical="center"/>
    </xf>
    <xf numFmtId="41" fontId="56" fillId="0" borderId="9" xfId="0" applyNumberFormat="1" applyFont="1" applyBorder="1" applyAlignment="1">
      <alignment horizontal="right" vertical="center"/>
    </xf>
    <xf numFmtId="41" fontId="56" fillId="0" borderId="25" xfId="0" applyNumberFormat="1" applyFont="1" applyBorder="1" applyAlignment="1">
      <alignment horizontal="right" vertical="center"/>
    </xf>
    <xf numFmtId="41" fontId="56" fillId="0" borderId="7" xfId="0" applyNumberFormat="1" applyFont="1" applyFill="1" applyBorder="1" applyAlignment="1" applyProtection="1">
      <alignment horizontal="right" vertical="center"/>
      <protection locked="0"/>
    </xf>
    <xf numFmtId="0" fontId="56" fillId="0" borderId="10" xfId="0" applyFont="1" applyFill="1" applyBorder="1" applyAlignment="1" applyProtection="1">
      <alignment horizontal="left" vertical="center" wrapText="1"/>
      <protection locked="0"/>
    </xf>
    <xf numFmtId="0" fontId="71" fillId="0" borderId="13" xfId="0" applyFont="1" applyBorder="1" applyAlignment="1">
      <alignment horizontal="left" vertical="center" wrapText="1"/>
    </xf>
    <xf numFmtId="0" fontId="55" fillId="0" borderId="31" xfId="0" applyFont="1" applyFill="1" applyBorder="1" applyAlignment="1" applyProtection="1">
      <alignment horizontal="left" vertical="center" wrapText="1"/>
      <protection locked="0"/>
    </xf>
    <xf numFmtId="0" fontId="56" fillId="0" borderId="12" xfId="0" applyFont="1" applyBorder="1" applyAlignment="1">
      <alignment vertical="center"/>
    </xf>
    <xf numFmtId="41" fontId="89" fillId="0" borderId="9" xfId="4" applyNumberFormat="1" applyFont="1" applyBorder="1" applyAlignment="1" applyProtection="1">
      <alignment horizontal="right" vertical="center" wrapText="1"/>
    </xf>
    <xf numFmtId="41" fontId="89" fillId="0" borderId="9" xfId="4" applyNumberFormat="1" applyFont="1" applyBorder="1" applyAlignment="1">
      <alignment horizontal="right" vertical="center" wrapText="1"/>
    </xf>
    <xf numFmtId="41" fontId="87" fillId="3" borderId="9" xfId="4" applyNumberFormat="1" applyFont="1" applyFill="1" applyBorder="1" applyAlignment="1" applyProtection="1">
      <alignment horizontal="right" vertical="center" wrapText="1"/>
    </xf>
    <xf numFmtId="41" fontId="87" fillId="9" borderId="9" xfId="4" applyNumberFormat="1" applyFont="1" applyFill="1" applyBorder="1" applyAlignment="1" applyProtection="1">
      <alignment horizontal="right" vertical="center" wrapText="1"/>
    </xf>
    <xf numFmtId="41" fontId="87" fillId="0" borderId="9" xfId="4" applyNumberFormat="1" applyFont="1" applyFill="1" applyBorder="1" applyAlignment="1" applyProtection="1">
      <alignment horizontal="right" vertical="center" wrapText="1"/>
    </xf>
    <xf numFmtId="41" fontId="87" fillId="0" borderId="9" xfId="4" applyNumberFormat="1" applyFont="1" applyFill="1" applyBorder="1" applyAlignment="1">
      <alignment horizontal="right" vertical="center" wrapText="1"/>
    </xf>
    <xf numFmtId="41" fontId="87" fillId="4" borderId="20" xfId="4" applyNumberFormat="1" applyFont="1" applyFill="1" applyBorder="1" applyAlignment="1" applyProtection="1">
      <alignment horizontal="right" vertical="center" wrapText="1"/>
    </xf>
    <xf numFmtId="41" fontId="87" fillId="4" borderId="20" xfId="4" applyNumberFormat="1" applyFont="1" applyFill="1" applyBorder="1" applyAlignment="1">
      <alignment horizontal="right" vertical="center" wrapText="1"/>
    </xf>
    <xf numFmtId="41" fontId="87" fillId="3" borderId="75" xfId="4" applyNumberFormat="1" applyFont="1" applyFill="1" applyBorder="1" applyAlignment="1" applyProtection="1">
      <alignment horizontal="right" vertical="center" wrapText="1"/>
    </xf>
    <xf numFmtId="41" fontId="87" fillId="3" borderId="15" xfId="4" applyNumberFormat="1" applyFont="1" applyFill="1" applyBorder="1" applyAlignment="1" applyProtection="1">
      <alignment horizontal="right" vertical="center" wrapText="1"/>
    </xf>
    <xf numFmtId="41" fontId="87" fillId="3" borderId="34" xfId="4" applyNumberFormat="1" applyFont="1" applyFill="1" applyBorder="1" applyAlignment="1">
      <alignment horizontal="right" vertical="center" wrapText="1"/>
    </xf>
    <xf numFmtId="41" fontId="87" fillId="3" borderId="3" xfId="4" applyNumberFormat="1" applyFont="1" applyFill="1" applyBorder="1" applyAlignment="1">
      <alignment horizontal="right" vertical="center" wrapText="1"/>
    </xf>
    <xf numFmtId="41" fontId="89" fillId="25" borderId="9" xfId="4" applyNumberFormat="1" applyFont="1" applyFill="1" applyBorder="1" applyAlignment="1">
      <alignment horizontal="right" vertical="center" wrapText="1"/>
    </xf>
    <xf numFmtId="41" fontId="89" fillId="25" borderId="3" xfId="4" applyNumberFormat="1" applyFont="1" applyFill="1" applyBorder="1" applyAlignment="1">
      <alignment horizontal="right" vertical="center" wrapText="1"/>
    </xf>
    <xf numFmtId="41" fontId="87" fillId="0" borderId="3" xfId="4" applyNumberFormat="1" applyFont="1" applyFill="1" applyBorder="1" applyAlignment="1">
      <alignment horizontal="right" vertical="center" wrapText="1"/>
    </xf>
    <xf numFmtId="41" fontId="87" fillId="4" borderId="21" xfId="4" applyNumberFormat="1" applyFont="1" applyFill="1" applyBorder="1" applyAlignment="1">
      <alignment horizontal="right" vertical="center" wrapText="1"/>
    </xf>
    <xf numFmtId="41" fontId="20" fillId="6" borderId="72" xfId="0" applyNumberFormat="1" applyFont="1" applyFill="1" applyBorder="1" applyAlignment="1">
      <alignment horizontal="right" vertical="center" wrapText="1" indent="1"/>
    </xf>
    <xf numFmtId="41" fontId="20" fillId="6" borderId="8" xfId="0" applyNumberFormat="1" applyFont="1" applyFill="1" applyBorder="1" applyAlignment="1">
      <alignment horizontal="right" vertical="center" wrapText="1" indent="1"/>
    </xf>
    <xf numFmtId="41" fontId="20" fillId="6" borderId="25" xfId="0" applyNumberFormat="1" applyFont="1" applyFill="1" applyBorder="1" applyAlignment="1">
      <alignment horizontal="right" vertical="center" wrapText="1" indent="1"/>
    </xf>
    <xf numFmtId="41" fontId="20" fillId="6" borderId="3" xfId="0" applyNumberFormat="1" applyFont="1" applyFill="1" applyBorder="1" applyAlignment="1">
      <alignment horizontal="right" vertical="center" wrapText="1" indent="1"/>
    </xf>
    <xf numFmtId="41" fontId="20" fillId="6" borderId="32" xfId="0" applyNumberFormat="1" applyFont="1" applyFill="1" applyBorder="1" applyAlignment="1">
      <alignment horizontal="right" vertical="center" wrapText="1" indent="1"/>
    </xf>
    <xf numFmtId="41" fontId="20" fillId="6" borderId="46" xfId="0" applyNumberFormat="1" applyFont="1" applyFill="1" applyBorder="1" applyAlignment="1">
      <alignment horizontal="right" vertical="center" wrapText="1" indent="1"/>
    </xf>
    <xf numFmtId="41" fontId="19" fillId="6" borderId="75" xfId="0" applyNumberFormat="1" applyFont="1" applyFill="1" applyBorder="1" applyAlignment="1">
      <alignment horizontal="right" vertical="center" wrapText="1" indent="1"/>
    </xf>
    <xf numFmtId="41" fontId="24" fillId="6" borderId="25" xfId="0" applyNumberFormat="1" applyFont="1" applyFill="1" applyBorder="1" applyAlignment="1">
      <alignment horizontal="right" vertical="center" wrapText="1" indent="1"/>
    </xf>
    <xf numFmtId="41" fontId="24" fillId="6" borderId="3" xfId="0" applyNumberFormat="1" applyFont="1" applyFill="1" applyBorder="1" applyAlignment="1">
      <alignment horizontal="right" vertical="center" wrapText="1" indent="1"/>
    </xf>
    <xf numFmtId="41" fontId="24" fillId="6" borderId="32" xfId="0" applyNumberFormat="1" applyFont="1" applyFill="1" applyBorder="1" applyAlignment="1">
      <alignment horizontal="right" vertical="center" wrapText="1" indent="1"/>
    </xf>
    <xf numFmtId="41" fontId="24" fillId="6" borderId="46" xfId="0" applyNumberFormat="1" applyFont="1" applyFill="1" applyBorder="1" applyAlignment="1">
      <alignment horizontal="right" vertical="center" wrapText="1" indent="1"/>
    </xf>
    <xf numFmtId="41" fontId="33" fillId="6" borderId="75" xfId="0" applyNumberFormat="1" applyFont="1" applyFill="1" applyBorder="1" applyAlignment="1">
      <alignment horizontal="right" vertical="center" wrapText="1" indent="1"/>
    </xf>
    <xf numFmtId="41" fontId="19" fillId="9" borderId="75" xfId="0" applyNumberFormat="1" applyFont="1" applyFill="1" applyBorder="1" applyAlignment="1">
      <alignment horizontal="right" vertical="center" wrapText="1" indent="1"/>
    </xf>
    <xf numFmtId="41" fontId="63" fillId="9" borderId="22" xfId="50" applyNumberFormat="1" applyFont="1" applyFill="1" applyBorder="1" applyAlignment="1">
      <alignment horizontal="right" vertical="center" wrapText="1" indent="1"/>
    </xf>
    <xf numFmtId="41" fontId="93" fillId="9" borderId="15" xfId="0" applyNumberFormat="1" applyFont="1" applyFill="1" applyBorder="1" applyAlignment="1">
      <alignment horizontal="right" vertical="center" wrapText="1"/>
    </xf>
    <xf numFmtId="41" fontId="93" fillId="9" borderId="22" xfId="0" applyNumberFormat="1" applyFont="1" applyFill="1" applyBorder="1" applyAlignment="1">
      <alignment horizontal="right" vertical="center" wrapText="1"/>
    </xf>
    <xf numFmtId="41" fontId="93" fillId="0" borderId="7" xfId="0" applyNumberFormat="1" applyFont="1" applyBorder="1" applyAlignment="1">
      <alignment horizontal="right" vertical="center" wrapText="1"/>
    </xf>
    <xf numFmtId="41" fontId="94" fillId="0" borderId="8" xfId="0" applyNumberFormat="1" applyFont="1" applyBorder="1" applyAlignment="1">
      <alignment horizontal="right" vertical="center" wrapText="1"/>
    </xf>
    <xf numFmtId="41" fontId="93" fillId="0" borderId="9" xfId="0" applyNumberFormat="1" applyFont="1" applyBorder="1" applyAlignment="1">
      <alignment horizontal="right" vertical="center" wrapText="1"/>
    </xf>
    <xf numFmtId="41" fontId="93" fillId="0" borderId="38" xfId="0" applyNumberFormat="1" applyFont="1" applyBorder="1" applyAlignment="1">
      <alignment horizontal="right" vertical="center" wrapText="1"/>
    </xf>
    <xf numFmtId="41" fontId="86" fillId="0" borderId="9" xfId="0" applyNumberFormat="1" applyFont="1" applyBorder="1" applyAlignment="1">
      <alignment horizontal="right" vertical="center" wrapText="1"/>
    </xf>
    <xf numFmtId="41" fontId="85" fillId="0" borderId="9" xfId="0" applyNumberFormat="1" applyFont="1" applyBorder="1" applyAlignment="1">
      <alignment horizontal="right" vertical="center" wrapText="1"/>
    </xf>
    <xf numFmtId="41" fontId="85" fillId="0" borderId="3" xfId="0" applyNumberFormat="1" applyFont="1" applyBorder="1" applyAlignment="1">
      <alignment horizontal="right" vertical="center" wrapText="1"/>
    </xf>
    <xf numFmtId="41" fontId="85" fillId="0" borderId="25" xfId="0" applyNumberFormat="1" applyFont="1" applyBorder="1" applyAlignment="1">
      <alignment horizontal="right" vertical="center" wrapText="1"/>
    </xf>
    <xf numFmtId="41" fontId="93" fillId="0" borderId="25" xfId="0" applyNumberFormat="1" applyFont="1" applyBorder="1" applyAlignment="1">
      <alignment horizontal="right" vertical="center" wrapText="1"/>
    </xf>
    <xf numFmtId="41" fontId="94" fillId="0" borderId="3" xfId="0" applyNumberFormat="1" applyFont="1" applyBorder="1" applyAlignment="1">
      <alignment horizontal="right" vertical="center" wrapText="1"/>
    </xf>
    <xf numFmtId="41" fontId="86" fillId="0" borderId="25" xfId="0" applyNumberFormat="1" applyFont="1" applyBorder="1" applyAlignment="1">
      <alignment horizontal="right" vertical="center" wrapText="1"/>
    </xf>
    <xf numFmtId="41" fontId="93" fillId="0" borderId="3" xfId="0" applyNumberFormat="1" applyFont="1" applyBorder="1" applyAlignment="1">
      <alignment horizontal="right" vertical="center" wrapText="1"/>
    </xf>
    <xf numFmtId="41" fontId="86" fillId="25" borderId="25" xfId="0" applyNumberFormat="1" applyFont="1" applyFill="1" applyBorder="1" applyAlignment="1">
      <alignment horizontal="right" vertical="center" wrapText="1"/>
    </xf>
    <xf numFmtId="41" fontId="94" fillId="0" borderId="9" xfId="0" applyNumberFormat="1" applyFont="1" applyBorder="1" applyAlignment="1">
      <alignment horizontal="right" vertical="center" wrapText="1"/>
    </xf>
    <xf numFmtId="41" fontId="86" fillId="0" borderId="32" xfId="0" applyNumberFormat="1" applyFont="1" applyBorder="1" applyAlignment="1">
      <alignment horizontal="right" vertical="center" wrapText="1"/>
    </xf>
    <xf numFmtId="41" fontId="85" fillId="0" borderId="18" xfId="0" applyNumberFormat="1" applyFont="1" applyBorder="1" applyAlignment="1">
      <alignment horizontal="right" vertical="center" wrapText="1"/>
    </xf>
    <xf numFmtId="41" fontId="85" fillId="0" borderId="46" xfId="0" applyNumberFormat="1" applyFont="1" applyBorder="1" applyAlignment="1">
      <alignment horizontal="right" vertical="center" wrapText="1"/>
    </xf>
    <xf numFmtId="41" fontId="93" fillId="9" borderId="75" xfId="0" applyNumberFormat="1" applyFont="1" applyFill="1" applyBorder="1" applyAlignment="1">
      <alignment horizontal="right" vertical="center" wrapText="1"/>
    </xf>
    <xf numFmtId="41" fontId="94" fillId="9" borderId="22" xfId="0" applyNumberFormat="1" applyFont="1" applyFill="1" applyBorder="1" applyAlignment="1">
      <alignment horizontal="right" vertical="center" wrapText="1"/>
    </xf>
    <xf numFmtId="41" fontId="93" fillId="0" borderId="72" xfId="0" applyNumberFormat="1" applyFont="1" applyBorder="1" applyAlignment="1">
      <alignment horizontal="right" vertical="center" wrapText="1"/>
    </xf>
    <xf numFmtId="41" fontId="86" fillId="0" borderId="3" xfId="0" applyNumberFormat="1" applyFont="1" applyBorder="1" applyAlignment="1">
      <alignment horizontal="right" vertical="center" wrapText="1"/>
    </xf>
    <xf numFmtId="41" fontId="93" fillId="0" borderId="71" xfId="0" applyNumberFormat="1" applyFont="1" applyBorder="1" applyAlignment="1">
      <alignment horizontal="right" vertical="center" wrapText="1"/>
    </xf>
    <xf numFmtId="41" fontId="94" fillId="0" borderId="17" xfId="0" applyNumberFormat="1" applyFont="1" applyBorder="1" applyAlignment="1">
      <alignment horizontal="right" vertical="center" wrapText="1"/>
    </xf>
    <xf numFmtId="41" fontId="96" fillId="0" borderId="25" xfId="0" applyNumberFormat="1" applyFont="1" applyBorder="1" applyAlignment="1">
      <alignment horizontal="right" vertical="center" wrapText="1"/>
    </xf>
    <xf numFmtId="41" fontId="95" fillId="0" borderId="9" xfId="0" applyNumberFormat="1" applyFont="1" applyBorder="1" applyAlignment="1">
      <alignment horizontal="right" vertical="center" wrapText="1"/>
    </xf>
    <xf numFmtId="41" fontId="95" fillId="0" borderId="3" xfId="0" applyNumberFormat="1" applyFont="1" applyBorder="1" applyAlignment="1">
      <alignment horizontal="right" vertical="center" wrapText="1"/>
    </xf>
    <xf numFmtId="41" fontId="86" fillId="0" borderId="27" xfId="0" applyNumberFormat="1" applyFont="1" applyBorder="1" applyAlignment="1">
      <alignment horizontal="right" vertical="center" wrapText="1"/>
    </xf>
    <xf numFmtId="41" fontId="85" fillId="0" borderId="20" xfId="0" applyNumberFormat="1" applyFont="1" applyBorder="1" applyAlignment="1">
      <alignment horizontal="right" vertical="center" wrapText="1"/>
    </xf>
    <xf numFmtId="41" fontId="85" fillId="0" borderId="21" xfId="0" applyNumberFormat="1" applyFont="1" applyBorder="1" applyAlignment="1">
      <alignment horizontal="right" vertical="center" wrapText="1"/>
    </xf>
    <xf numFmtId="41" fontId="94" fillId="0" borderId="25" xfId="0" applyNumberFormat="1" applyFont="1" applyBorder="1" applyAlignment="1">
      <alignment horizontal="right" vertical="center" wrapText="1"/>
    </xf>
    <xf numFmtId="41" fontId="93" fillId="0" borderId="8" xfId="0" applyNumberFormat="1" applyFont="1" applyBorder="1" applyAlignment="1">
      <alignment horizontal="right" vertical="center" wrapText="1"/>
    </xf>
    <xf numFmtId="41" fontId="94" fillId="0" borderId="7" xfId="0" applyNumberFormat="1" applyFont="1" applyBorder="1" applyAlignment="1">
      <alignment horizontal="right" vertical="center" wrapText="1"/>
    </xf>
    <xf numFmtId="41" fontId="86" fillId="0" borderId="48" xfId="0" applyNumberFormat="1" applyFont="1" applyBorder="1" applyAlignment="1">
      <alignment horizontal="right" vertical="center" wrapText="1"/>
    </xf>
    <xf numFmtId="41" fontId="68" fillId="0" borderId="72" xfId="0" applyNumberFormat="1" applyFont="1" applyBorder="1" applyAlignment="1">
      <alignment horizontal="right" vertical="center" wrapText="1" indent="1"/>
    </xf>
    <xf numFmtId="41" fontId="68" fillId="0" borderId="8" xfId="0" applyNumberFormat="1" applyFont="1" applyBorder="1" applyAlignment="1">
      <alignment horizontal="right" vertical="center" wrapText="1" indent="1"/>
    </xf>
    <xf numFmtId="41" fontId="69" fillId="0" borderId="2" xfId="0" applyNumberFormat="1" applyFont="1" applyBorder="1" applyAlignment="1">
      <alignment horizontal="right" vertical="center" wrapText="1"/>
    </xf>
    <xf numFmtId="41" fontId="69" fillId="0" borderId="3" xfId="0" applyNumberFormat="1" applyFont="1" applyBorder="1" applyAlignment="1">
      <alignment horizontal="right" vertical="center" wrapText="1"/>
    </xf>
    <xf numFmtId="41" fontId="69" fillId="0" borderId="0" xfId="0" applyNumberFormat="1" applyFont="1" applyAlignment="1">
      <alignment horizontal="right" vertical="center" wrapText="1"/>
    </xf>
    <xf numFmtId="41" fontId="68" fillId="0" borderId="25" xfId="0" applyNumberFormat="1" applyFont="1" applyBorder="1" applyAlignment="1">
      <alignment horizontal="right" vertical="center" wrapText="1" indent="1"/>
    </xf>
    <xf numFmtId="41" fontId="68" fillId="0" borderId="3" xfId="0" applyNumberFormat="1" applyFont="1" applyBorder="1" applyAlignment="1">
      <alignment horizontal="right" vertical="center" wrapText="1" indent="1"/>
    </xf>
    <xf numFmtId="41" fontId="66" fillId="0" borderId="25" xfId="0" applyNumberFormat="1" applyFont="1" applyBorder="1" applyAlignment="1">
      <alignment horizontal="right" vertical="center" wrapText="1" indent="1"/>
    </xf>
    <xf numFmtId="41" fontId="66" fillId="0" borderId="3" xfId="0" applyNumberFormat="1" applyFont="1" applyBorder="1" applyAlignment="1">
      <alignment horizontal="right" vertical="center" wrapText="1" indent="1"/>
    </xf>
    <xf numFmtId="41" fontId="67" fillId="0" borderId="2" xfId="0" applyNumberFormat="1" applyFont="1" applyBorder="1" applyAlignment="1">
      <alignment horizontal="right" vertical="center" wrapText="1"/>
    </xf>
    <xf numFmtId="41" fontId="67" fillId="0" borderId="3" xfId="0" applyNumberFormat="1" applyFont="1" applyBorder="1" applyAlignment="1">
      <alignment horizontal="right" vertical="center" wrapText="1"/>
    </xf>
    <xf numFmtId="41" fontId="68" fillId="0" borderId="32" xfId="0" applyNumberFormat="1" applyFont="1" applyBorder="1" applyAlignment="1">
      <alignment horizontal="right" vertical="center" wrapText="1" indent="1"/>
    </xf>
    <xf numFmtId="41" fontId="68" fillId="0" borderId="18" xfId="0" applyNumberFormat="1" applyFont="1" applyBorder="1" applyAlignment="1">
      <alignment horizontal="right" vertical="center" wrapText="1"/>
    </xf>
    <xf numFmtId="41" fontId="68" fillId="0" borderId="46" xfId="0" applyNumberFormat="1" applyFont="1" applyBorder="1" applyAlignment="1">
      <alignment horizontal="right" vertical="center" wrapText="1" indent="1"/>
    </xf>
    <xf numFmtId="41" fontId="66" fillId="0" borderId="75" xfId="0" applyNumberFormat="1" applyFont="1" applyBorder="1" applyAlignment="1">
      <alignment horizontal="right" vertical="center" wrapText="1" indent="1"/>
    </xf>
    <xf numFmtId="41" fontId="66" fillId="0" borderId="22" xfId="0" applyNumberFormat="1" applyFont="1" applyBorder="1" applyAlignment="1">
      <alignment horizontal="right" vertical="center" wrapText="1" indent="1"/>
    </xf>
    <xf numFmtId="41" fontId="69" fillId="0" borderId="25" xfId="0" applyNumberFormat="1" applyFont="1" applyBorder="1" applyAlignment="1">
      <alignment horizontal="right" vertical="center" wrapText="1"/>
    </xf>
    <xf numFmtId="41" fontId="67" fillId="0" borderId="25" xfId="0" applyNumberFormat="1" applyFont="1" applyBorder="1" applyAlignment="1">
      <alignment horizontal="right" vertical="center" wrapText="1"/>
    </xf>
    <xf numFmtId="41" fontId="92" fillId="0" borderId="2" xfId="0" applyNumberFormat="1" applyFont="1" applyBorder="1" applyAlignment="1">
      <alignment horizontal="right" vertical="center" wrapText="1"/>
    </xf>
    <xf numFmtId="41" fontId="92" fillId="0" borderId="3" xfId="0" applyNumberFormat="1" applyFont="1" applyBorder="1" applyAlignment="1">
      <alignment horizontal="right" vertical="center" wrapText="1"/>
    </xf>
    <xf numFmtId="41" fontId="83" fillId="0" borderId="2" xfId="0" applyNumberFormat="1" applyFont="1" applyBorder="1" applyAlignment="1">
      <alignment horizontal="right" vertical="center" wrapText="1"/>
    </xf>
    <xf numFmtId="41" fontId="83" fillId="0" borderId="3" xfId="0" applyNumberFormat="1" applyFont="1" applyBorder="1" applyAlignment="1">
      <alignment horizontal="right" vertical="center" wrapText="1"/>
    </xf>
    <xf numFmtId="41" fontId="66" fillId="0" borderId="48" xfId="0" applyNumberFormat="1" applyFont="1" applyBorder="1" applyAlignment="1">
      <alignment horizontal="right" vertical="center" wrapText="1" indent="1"/>
    </xf>
    <xf numFmtId="41" fontId="71" fillId="0" borderId="0" xfId="0" applyNumberFormat="1" applyFont="1" applyAlignment="1">
      <alignment horizontal="right" vertical="center" wrapText="1"/>
    </xf>
    <xf numFmtId="41" fontId="76" fillId="0" borderId="0" xfId="0" applyNumberFormat="1" applyFont="1" applyAlignment="1">
      <alignment horizontal="right" vertical="center" wrapText="1"/>
    </xf>
    <xf numFmtId="41" fontId="66" fillId="0" borderId="72" xfId="0" applyNumberFormat="1" applyFont="1" applyBorder="1" applyAlignment="1">
      <alignment horizontal="right" vertical="center" wrapText="1" indent="1"/>
    </xf>
    <xf numFmtId="41" fontId="69" fillId="0" borderId="31" xfId="0" applyNumberFormat="1" applyFont="1" applyBorder="1" applyAlignment="1">
      <alignment horizontal="right" vertical="center" wrapText="1"/>
    </xf>
    <xf numFmtId="41" fontId="67" fillId="0" borderId="32" xfId="0" applyNumberFormat="1" applyFont="1" applyBorder="1" applyAlignment="1">
      <alignment horizontal="right" vertical="center" wrapText="1"/>
    </xf>
    <xf numFmtId="41" fontId="67" fillId="0" borderId="31" xfId="0" applyNumberFormat="1" applyFont="1" applyBorder="1" applyAlignment="1">
      <alignment horizontal="right" vertical="center" wrapText="1"/>
    </xf>
    <xf numFmtId="41" fontId="68" fillId="0" borderId="72" xfId="0" applyNumberFormat="1" applyFont="1" applyBorder="1" applyAlignment="1">
      <alignment horizontal="right" vertical="center" wrapText="1"/>
    </xf>
    <xf numFmtId="41" fontId="68" fillId="0" borderId="8" xfId="0" applyNumberFormat="1" applyFont="1" applyBorder="1" applyAlignment="1">
      <alignment horizontal="right" vertical="center" wrapText="1"/>
    </xf>
    <xf numFmtId="41" fontId="68" fillId="0" borderId="25" xfId="0" applyNumberFormat="1" applyFont="1" applyBorder="1" applyAlignment="1">
      <alignment horizontal="right" vertical="center" wrapText="1"/>
    </xf>
    <xf numFmtId="41" fontId="68" fillId="0" borderId="3" xfId="0" applyNumberFormat="1" applyFont="1" applyBorder="1" applyAlignment="1">
      <alignment horizontal="right" vertical="center" wrapText="1"/>
    </xf>
    <xf numFmtId="41" fontId="66" fillId="0" borderId="25" xfId="0" applyNumberFormat="1" applyFont="1" applyBorder="1" applyAlignment="1">
      <alignment horizontal="right" vertical="center" wrapText="1"/>
    </xf>
    <xf numFmtId="41" fontId="66" fillId="0" borderId="3" xfId="0" applyNumberFormat="1" applyFont="1" applyBorder="1" applyAlignment="1">
      <alignment horizontal="right" vertical="center" wrapText="1"/>
    </xf>
    <xf numFmtId="41" fontId="68" fillId="0" borderId="32" xfId="0" applyNumberFormat="1" applyFont="1" applyBorder="1" applyAlignment="1">
      <alignment horizontal="right" vertical="center" wrapText="1"/>
    </xf>
    <xf numFmtId="41" fontId="68" fillId="0" borderId="46" xfId="0" applyNumberFormat="1" applyFont="1" applyBorder="1" applyAlignment="1">
      <alignment horizontal="right" vertical="center" wrapText="1"/>
    </xf>
    <xf numFmtId="41" fontId="66" fillId="9" borderId="15" xfId="50" applyNumberFormat="1" applyFont="1" applyFill="1" applyBorder="1" applyAlignment="1">
      <alignment horizontal="right" vertical="center" wrapText="1" indent="1"/>
    </xf>
    <xf numFmtId="41" fontId="66" fillId="9" borderId="75" xfId="50" applyNumberFormat="1" applyFont="1" applyFill="1" applyBorder="1" applyAlignment="1">
      <alignment horizontal="right" vertical="center" wrapText="1" indent="1"/>
    </xf>
    <xf numFmtId="41" fontId="66" fillId="9" borderId="22" xfId="50" applyNumberFormat="1" applyFont="1" applyFill="1" applyBorder="1" applyAlignment="1">
      <alignment horizontal="right" vertical="center" wrapText="1" indent="1"/>
    </xf>
    <xf numFmtId="41" fontId="67" fillId="0" borderId="31" xfId="0" applyNumberFormat="1" applyFont="1" applyFill="1" applyBorder="1" applyAlignment="1">
      <alignment horizontal="right" vertical="center" wrapText="1"/>
    </xf>
    <xf numFmtId="41" fontId="67" fillId="0" borderId="32" xfId="0" applyNumberFormat="1" applyFont="1" applyFill="1" applyBorder="1" applyAlignment="1">
      <alignment horizontal="right" vertical="center" wrapText="1"/>
    </xf>
    <xf numFmtId="41" fontId="86" fillId="0" borderId="9" xfId="0" applyNumberFormat="1" applyFont="1" applyBorder="1" applyAlignment="1">
      <alignment horizontal="left" vertical="center" wrapText="1"/>
    </xf>
    <xf numFmtId="41" fontId="93" fillId="0" borderId="9" xfId="0" applyNumberFormat="1" applyFont="1" applyBorder="1" applyAlignment="1">
      <alignment horizontal="left" vertical="center" wrapText="1"/>
    </xf>
    <xf numFmtId="41" fontId="94" fillId="8" borderId="25" xfId="6" applyNumberFormat="1" applyFont="1" applyFill="1" applyBorder="1" applyAlignment="1">
      <alignment vertical="center" wrapText="1"/>
    </xf>
    <xf numFmtId="41" fontId="93" fillId="0" borderId="18" xfId="0" applyNumberFormat="1" applyFont="1" applyBorder="1" applyAlignment="1">
      <alignment horizontal="left" vertical="center" wrapText="1"/>
    </xf>
    <xf numFmtId="41" fontId="94" fillId="3" borderId="15" xfId="6" applyNumberFormat="1" applyFont="1" applyFill="1" applyBorder="1" applyAlignment="1">
      <alignment vertical="center" wrapText="1"/>
    </xf>
    <xf numFmtId="41" fontId="94" fillId="8" borderId="72" xfId="6" applyNumberFormat="1" applyFont="1" applyFill="1" applyBorder="1" applyAlignment="1">
      <alignment vertical="center" wrapText="1"/>
    </xf>
    <xf numFmtId="41" fontId="93" fillId="0" borderId="20" xfId="0" applyNumberFormat="1" applyFont="1" applyBorder="1" applyAlignment="1">
      <alignment horizontal="left" vertical="center" wrapText="1"/>
    </xf>
    <xf numFmtId="41" fontId="94" fillId="8" borderId="71" xfId="6" applyNumberFormat="1" applyFont="1" applyFill="1" applyBorder="1" applyAlignment="1">
      <alignment vertical="center" wrapText="1"/>
    </xf>
    <xf numFmtId="41" fontId="86" fillId="0" borderId="7" xfId="0" applyNumberFormat="1" applyFont="1" applyBorder="1" applyAlignment="1">
      <alignment horizontal="left" vertical="center" wrapText="1"/>
    </xf>
    <xf numFmtId="41" fontId="86" fillId="0" borderId="18" xfId="0" applyNumberFormat="1" applyFont="1" applyBorder="1" applyAlignment="1">
      <alignment horizontal="left" vertical="center" wrapText="1"/>
    </xf>
    <xf numFmtId="41" fontId="93" fillId="9" borderId="15" xfId="0" applyNumberFormat="1" applyFont="1" applyFill="1" applyBorder="1" applyAlignment="1">
      <alignment horizontal="left" vertical="center" wrapText="1"/>
    </xf>
    <xf numFmtId="41" fontId="85" fillId="0" borderId="33" xfId="6" applyNumberFormat="1" applyFont="1" applyBorder="1" applyAlignment="1">
      <alignment horizontal="center" vertical="center" wrapText="1"/>
    </xf>
    <xf numFmtId="41" fontId="85" fillId="0" borderId="9" xfId="1" applyNumberFormat="1" applyFont="1" applyBorder="1" applyAlignment="1">
      <alignment horizontal="right" vertical="center" wrapText="1"/>
    </xf>
    <xf numFmtId="41" fontId="85" fillId="0" borderId="3" xfId="1" applyNumberFormat="1" applyFont="1" applyBorder="1" applyAlignment="1">
      <alignment horizontal="right" vertical="center" wrapText="1"/>
    </xf>
    <xf numFmtId="41" fontId="94" fillId="0" borderId="33" xfId="6" applyNumberFormat="1" applyFont="1" applyBorder="1" applyAlignment="1">
      <alignment horizontal="center" vertical="center" wrapText="1"/>
    </xf>
    <xf numFmtId="41" fontId="94" fillId="0" borderId="9" xfId="1" applyNumberFormat="1" applyFont="1" applyBorder="1" applyAlignment="1">
      <alignment horizontal="right" vertical="center" wrapText="1"/>
    </xf>
    <xf numFmtId="41" fontId="94" fillId="0" borderId="3" xfId="1" applyNumberFormat="1" applyFont="1" applyBorder="1" applyAlignment="1">
      <alignment horizontal="right" vertical="center" wrapText="1"/>
    </xf>
    <xf numFmtId="41" fontId="85" fillId="8" borderId="33" xfId="6" applyNumberFormat="1" applyFont="1" applyFill="1" applyBorder="1" applyAlignment="1">
      <alignment horizontal="center" vertical="center" wrapText="1"/>
    </xf>
    <xf numFmtId="41" fontId="94" fillId="0" borderId="5" xfId="6" applyNumberFormat="1" applyFont="1" applyBorder="1" applyAlignment="1">
      <alignment horizontal="center" vertical="center" wrapText="1"/>
    </xf>
    <xf numFmtId="41" fontId="94" fillId="0" borderId="18" xfId="1" applyNumberFormat="1" applyFont="1" applyBorder="1" applyAlignment="1">
      <alignment horizontal="right" vertical="center" wrapText="1"/>
    </xf>
    <xf numFmtId="41" fontId="94" fillId="0" borderId="46" xfId="1" applyNumberFormat="1" applyFont="1" applyBorder="1" applyAlignment="1">
      <alignment horizontal="right" vertical="center" wrapText="1"/>
    </xf>
    <xf numFmtId="41" fontId="93" fillId="3" borderId="24" xfId="6" applyNumberFormat="1" applyFont="1" applyFill="1" applyBorder="1" applyAlignment="1">
      <alignment horizontal="center" vertical="center" wrapText="1"/>
    </xf>
    <xf numFmtId="41" fontId="85" fillId="8" borderId="1" xfId="6" applyNumberFormat="1" applyFont="1" applyFill="1" applyBorder="1" applyAlignment="1">
      <alignment horizontal="center" vertical="center" wrapText="1"/>
    </xf>
    <xf numFmtId="41" fontId="86" fillId="0" borderId="9" xfId="1" applyNumberFormat="1" applyFont="1" applyBorder="1" applyAlignment="1">
      <alignment horizontal="right" vertical="center" wrapText="1"/>
    </xf>
    <xf numFmtId="41" fontId="86" fillId="0" borderId="3" xfId="1" applyNumberFormat="1" applyFont="1" applyBorder="1" applyAlignment="1">
      <alignment horizontal="right" vertical="center" wrapText="1"/>
    </xf>
    <xf numFmtId="41" fontId="94" fillId="0" borderId="35" xfId="6" applyNumberFormat="1" applyFont="1" applyBorder="1" applyAlignment="1">
      <alignment horizontal="center" vertical="center" wrapText="1"/>
    </xf>
    <xf numFmtId="41" fontId="94" fillId="0" borderId="20" xfId="1" applyNumberFormat="1" applyFont="1" applyBorder="1" applyAlignment="1">
      <alignment horizontal="right" vertical="center" wrapText="1"/>
    </xf>
    <xf numFmtId="41" fontId="94" fillId="0" borderId="21" xfId="1" applyNumberFormat="1" applyFont="1" applyBorder="1" applyAlignment="1">
      <alignment horizontal="right" vertical="center" wrapText="1"/>
    </xf>
    <xf numFmtId="41" fontId="85" fillId="25" borderId="9" xfId="1" applyNumberFormat="1" applyFont="1" applyFill="1" applyBorder="1" applyAlignment="1">
      <alignment horizontal="right" vertical="center" wrapText="1"/>
    </xf>
    <xf numFmtId="41" fontId="85" fillId="25" borderId="3" xfId="1" applyNumberFormat="1" applyFont="1" applyFill="1" applyBorder="1" applyAlignment="1">
      <alignment horizontal="right" vertical="center" wrapText="1"/>
    </xf>
    <xf numFmtId="41" fontId="94" fillId="25" borderId="9" xfId="1" applyNumberFormat="1" applyFont="1" applyFill="1" applyBorder="1" applyAlignment="1">
      <alignment horizontal="right" vertical="center" wrapText="1"/>
    </xf>
    <xf numFmtId="41" fontId="94" fillId="25" borderId="3" xfId="1" applyNumberFormat="1" applyFont="1" applyFill="1" applyBorder="1" applyAlignment="1">
      <alignment horizontal="right" vertical="center" wrapText="1"/>
    </xf>
    <xf numFmtId="41" fontId="85" fillId="8" borderId="45" xfId="6" applyNumberFormat="1" applyFont="1" applyFill="1" applyBorder="1" applyAlignment="1">
      <alignment horizontal="center" vertical="center" wrapText="1"/>
    </xf>
    <xf numFmtId="41" fontId="85" fillId="0" borderId="3" xfId="6" applyNumberFormat="1" applyFont="1" applyBorder="1" applyAlignment="1">
      <alignment horizontal="right" vertical="center" wrapText="1"/>
    </xf>
    <xf numFmtId="41" fontId="94" fillId="25" borderId="18" xfId="1" applyNumberFormat="1" applyFont="1" applyFill="1" applyBorder="1" applyAlignment="1">
      <alignment horizontal="right" vertical="center" wrapText="1"/>
    </xf>
    <xf numFmtId="41" fontId="94" fillId="25" borderId="46" xfId="1" applyNumberFormat="1" applyFont="1" applyFill="1" applyBorder="1" applyAlignment="1">
      <alignment horizontal="right" vertical="center" wrapText="1"/>
    </xf>
    <xf numFmtId="41" fontId="85" fillId="8" borderId="1" xfId="0" applyNumberFormat="1" applyFont="1" applyFill="1" applyBorder="1" applyAlignment="1">
      <alignment horizontal="center" vertical="center" wrapText="1"/>
    </xf>
    <xf numFmtId="41" fontId="85" fillId="0" borderId="33" xfId="0" applyNumberFormat="1" applyFont="1" applyBorder="1" applyAlignment="1">
      <alignment horizontal="center" vertical="center" wrapText="1"/>
    </xf>
    <xf numFmtId="41" fontId="94" fillId="0" borderId="5" xfId="0" applyNumberFormat="1" applyFont="1" applyBorder="1" applyAlignment="1">
      <alignment horizontal="center" vertical="center" wrapText="1"/>
    </xf>
    <xf numFmtId="41" fontId="85" fillId="0" borderId="33" xfId="6" applyNumberFormat="1" applyFont="1" applyFill="1" applyBorder="1" applyAlignment="1">
      <alignment horizontal="center" vertical="center" wrapText="1"/>
    </xf>
    <xf numFmtId="41" fontId="94" fillId="0" borderId="33" xfId="6" applyNumberFormat="1" applyFont="1" applyFill="1" applyBorder="1" applyAlignment="1">
      <alignment horizontal="center" vertical="center" wrapText="1"/>
    </xf>
    <xf numFmtId="41" fontId="94" fillId="0" borderId="35" xfId="6" applyNumberFormat="1" applyFont="1" applyFill="1" applyBorder="1" applyAlignment="1">
      <alignment horizontal="center" vertical="center" wrapText="1"/>
    </xf>
    <xf numFmtId="41" fontId="94" fillId="25" borderId="20" xfId="1" applyNumberFormat="1" applyFont="1" applyFill="1" applyBorder="1" applyAlignment="1">
      <alignment horizontal="right" vertical="center" wrapText="1"/>
    </xf>
    <xf numFmtId="41" fontId="94" fillId="25" borderId="21" xfId="1" applyNumberFormat="1" applyFont="1" applyFill="1" applyBorder="1" applyAlignment="1">
      <alignment horizontal="right" vertical="center" wrapText="1"/>
    </xf>
    <xf numFmtId="41" fontId="85" fillId="0" borderId="1" xfId="6" applyNumberFormat="1" applyFont="1" applyBorder="1" applyAlignment="1">
      <alignment horizontal="center" vertical="center" wrapText="1"/>
    </xf>
    <xf numFmtId="41" fontId="86" fillId="0" borderId="7" xfId="1" applyNumberFormat="1" applyFont="1" applyBorder="1" applyAlignment="1">
      <alignment horizontal="right" vertical="center" wrapText="1"/>
    </xf>
    <xf numFmtId="41" fontId="86" fillId="0" borderId="8" xfId="1" applyNumberFormat="1" applyFont="1" applyBorder="1" applyAlignment="1">
      <alignment horizontal="right" vertical="center" wrapText="1"/>
    </xf>
    <xf numFmtId="41" fontId="85" fillId="0" borderId="5" xfId="6" applyNumberFormat="1" applyFont="1" applyBorder="1" applyAlignment="1">
      <alignment horizontal="center" vertical="center" wrapText="1"/>
    </xf>
    <xf numFmtId="41" fontId="86" fillId="0" borderId="18" xfId="1" applyNumberFormat="1" applyFont="1" applyBorder="1" applyAlignment="1">
      <alignment horizontal="right" vertical="center" wrapText="1"/>
    </xf>
    <xf numFmtId="41" fontId="86" fillId="0" borderId="46" xfId="1" applyNumberFormat="1" applyFont="1" applyBorder="1" applyAlignment="1">
      <alignment horizontal="right" vertical="center" wrapText="1"/>
    </xf>
    <xf numFmtId="41" fontId="93" fillId="0" borderId="15" xfId="1" applyNumberFormat="1" applyFont="1" applyBorder="1" applyAlignment="1">
      <alignment horizontal="right" vertical="center" wrapText="1"/>
    </xf>
    <xf numFmtId="41" fontId="93" fillId="0" borderId="22" xfId="1" applyNumberFormat="1" applyFont="1" applyBorder="1" applyAlignment="1">
      <alignment horizontal="right" vertical="center" wrapText="1"/>
    </xf>
    <xf numFmtId="41" fontId="93" fillId="0" borderId="9" xfId="1" applyNumberFormat="1" applyFont="1" applyBorder="1" applyAlignment="1">
      <alignment horizontal="right" vertical="center" wrapText="1"/>
    </xf>
    <xf numFmtId="41" fontId="93" fillId="0" borderId="3" xfId="1" applyNumberFormat="1" applyFont="1" applyBorder="1" applyAlignment="1">
      <alignment horizontal="right" vertical="center" wrapText="1"/>
    </xf>
    <xf numFmtId="41" fontId="85" fillId="9" borderId="24" xfId="6" applyNumberFormat="1" applyFont="1" applyFill="1" applyBorder="1" applyAlignment="1">
      <alignment horizontal="center" vertical="center" wrapText="1"/>
    </xf>
    <xf numFmtId="41" fontId="94" fillId="9" borderId="15" xfId="1" applyNumberFormat="1" applyFont="1" applyFill="1" applyBorder="1" applyAlignment="1">
      <alignment horizontal="right" vertical="center" wrapText="1"/>
    </xf>
    <xf numFmtId="41" fontId="85" fillId="9" borderId="22" xfId="6" applyNumberFormat="1" applyFont="1" applyFill="1" applyBorder="1" applyAlignment="1">
      <alignment horizontal="right" vertical="center" wrapText="1"/>
    </xf>
    <xf numFmtId="41" fontId="94" fillId="8" borderId="79" xfId="0" applyNumberFormat="1" applyFont="1" applyFill="1" applyBorder="1" applyAlignment="1">
      <alignment horizontal="center" vertical="center" wrapText="1"/>
    </xf>
    <xf numFmtId="41" fontId="94" fillId="8" borderId="34" xfId="0" applyNumberFormat="1" applyFont="1" applyFill="1" applyBorder="1" applyAlignment="1">
      <alignment horizontal="center" vertical="center" wrapText="1"/>
    </xf>
    <xf numFmtId="41" fontId="86" fillId="0" borderId="7" xfId="0" applyNumberFormat="1" applyFont="1" applyBorder="1" applyAlignment="1">
      <alignment vertical="center" wrapText="1"/>
    </xf>
    <xf numFmtId="41" fontId="86" fillId="0" borderId="7" xfId="0" applyNumberFormat="1" applyFont="1" applyFill="1" applyBorder="1" applyAlignment="1">
      <alignment horizontal="left" vertical="center" wrapText="1"/>
    </xf>
    <xf numFmtId="41" fontId="86" fillId="0" borderId="9" xfId="0" applyNumberFormat="1" applyFont="1" applyFill="1" applyBorder="1" applyAlignment="1">
      <alignment horizontal="left" vertical="center" wrapText="1"/>
    </xf>
    <xf numFmtId="41" fontId="93" fillId="0" borderId="26" xfId="0" applyNumberFormat="1" applyFont="1" applyFill="1" applyBorder="1" applyAlignment="1">
      <alignment horizontal="left" vertical="center" wrapText="1"/>
    </xf>
    <xf numFmtId="41" fontId="68" fillId="0" borderId="0" xfId="0" applyNumberFormat="1" applyFont="1" applyAlignment="1">
      <alignment vertical="center" wrapText="1"/>
    </xf>
    <xf numFmtId="41" fontId="93" fillId="8" borderId="6" xfId="0" applyNumberFormat="1" applyFont="1" applyFill="1" applyBorder="1" applyAlignment="1">
      <alignment horizontal="left" vertical="center" wrapText="1"/>
    </xf>
    <xf numFmtId="41" fontId="93" fillId="8" borderId="15" xfId="0" applyNumberFormat="1" applyFont="1" applyFill="1" applyBorder="1" applyAlignment="1">
      <alignment horizontal="right" vertical="center" wrapText="1"/>
    </xf>
    <xf numFmtId="41" fontId="93" fillId="8" borderId="22" xfId="0" applyNumberFormat="1" applyFont="1" applyFill="1" applyBorder="1" applyAlignment="1">
      <alignment horizontal="right" vertical="center" wrapText="1"/>
    </xf>
    <xf numFmtId="41" fontId="93" fillId="3" borderId="6" xfId="0" applyNumberFormat="1" applyFont="1" applyFill="1" applyBorder="1" applyAlignment="1">
      <alignment vertical="center" wrapText="1"/>
    </xf>
    <xf numFmtId="41" fontId="86" fillId="0" borderId="0" xfId="0" applyNumberFormat="1" applyFont="1"/>
    <xf numFmtId="41" fontId="55" fillId="0" borderId="9" xfId="6" applyNumberFormat="1" applyFont="1" applyBorder="1" applyAlignment="1">
      <alignment horizontal="center" vertical="center"/>
    </xf>
    <xf numFmtId="41" fontId="55" fillId="0" borderId="3" xfId="6" applyNumberFormat="1" applyFont="1" applyBorder="1" applyAlignment="1">
      <alignment vertical="center"/>
    </xf>
    <xf numFmtId="41" fontId="55" fillId="0" borderId="9" xfId="6" applyNumberFormat="1" applyFont="1" applyBorder="1" applyAlignment="1">
      <alignment vertical="center"/>
    </xf>
    <xf numFmtId="41" fontId="55" fillId="0" borderId="7" xfId="0" applyNumberFormat="1" applyFont="1" applyFill="1" applyBorder="1" applyAlignment="1" applyProtection="1">
      <alignment horizontal="right" vertical="center"/>
      <protection locked="0"/>
    </xf>
    <xf numFmtId="41" fontId="55" fillId="0" borderId="49" xfId="0" applyNumberFormat="1" applyFont="1" applyBorder="1" applyAlignment="1">
      <alignment horizontal="right" vertical="center"/>
    </xf>
    <xf numFmtId="41" fontId="55" fillId="0" borderId="7" xfId="0" applyNumberFormat="1" applyFont="1" applyBorder="1" applyAlignment="1">
      <alignment horizontal="right" vertical="center"/>
    </xf>
    <xf numFmtId="41" fontId="55" fillId="0" borderId="72" xfId="0" applyNumberFormat="1" applyFont="1" applyBorder="1" applyAlignment="1">
      <alignment horizontal="right" vertical="center"/>
    </xf>
    <xf numFmtId="0" fontId="30" fillId="0" borderId="6" xfId="0" applyFont="1" applyBorder="1" applyAlignment="1">
      <alignment horizontal="center" vertical="center" wrapText="1"/>
    </xf>
    <xf numFmtId="41" fontId="66" fillId="0" borderId="79" xfId="0" applyNumberFormat="1" applyFont="1" applyBorder="1" applyAlignment="1">
      <alignment horizontal="center" vertical="center" wrapText="1"/>
    </xf>
    <xf numFmtId="0" fontId="68" fillId="0" borderId="33" xfId="0" applyFont="1" applyBorder="1" applyAlignment="1">
      <alignment horizontal="left" vertical="center" wrapText="1"/>
    </xf>
    <xf numFmtId="0" fontId="68" fillId="0" borderId="29" xfId="4" applyFont="1" applyFill="1" applyBorder="1" applyAlignment="1">
      <alignment vertical="center"/>
    </xf>
    <xf numFmtId="0" fontId="68" fillId="0" borderId="5" xfId="4" applyFont="1" applyBorder="1" applyAlignment="1">
      <alignment horizontal="left" vertical="center" wrapText="1"/>
    </xf>
    <xf numFmtId="41" fontId="68" fillId="0" borderId="9" xfId="4" applyNumberFormat="1" applyFont="1" applyBorder="1" applyAlignment="1">
      <alignment horizontal="right" vertical="center" wrapText="1"/>
    </xf>
    <xf numFmtId="41" fontId="68" fillId="0" borderId="9" xfId="4" applyNumberFormat="1" applyFont="1" applyFill="1" applyBorder="1" applyAlignment="1">
      <alignment horizontal="right" vertical="center" wrapText="1"/>
    </xf>
    <xf numFmtId="41" fontId="66" fillId="0" borderId="9" xfId="4" applyNumberFormat="1" applyFont="1" applyFill="1" applyBorder="1" applyAlignment="1">
      <alignment horizontal="right" vertical="center" wrapText="1"/>
    </xf>
    <xf numFmtId="41" fontId="68" fillId="0" borderId="18" xfId="4" applyNumberFormat="1" applyFont="1" applyBorder="1" applyAlignment="1">
      <alignment horizontal="right" vertical="center" wrapText="1"/>
    </xf>
    <xf numFmtId="41" fontId="66" fillId="4" borderId="15" xfId="4" applyNumberFormat="1" applyFont="1" applyFill="1" applyBorder="1" applyAlignment="1">
      <alignment horizontal="right" vertical="center" wrapText="1"/>
    </xf>
    <xf numFmtId="41" fontId="66" fillId="4" borderId="75" xfId="4" applyNumberFormat="1" applyFont="1" applyFill="1" applyBorder="1" applyAlignment="1">
      <alignment horizontal="right" vertical="center" wrapText="1"/>
    </xf>
    <xf numFmtId="41" fontId="66" fillId="3" borderId="7" xfId="4" applyNumberFormat="1" applyFont="1" applyFill="1" applyBorder="1" applyAlignment="1">
      <alignment horizontal="right" vertical="center" wrapText="1"/>
    </xf>
    <xf numFmtId="41" fontId="69" fillId="0" borderId="9" xfId="1" applyNumberFormat="1" applyFont="1" applyBorder="1" applyAlignment="1">
      <alignment horizontal="right" vertical="center" wrapText="1"/>
    </xf>
    <xf numFmtId="41" fontId="68" fillId="0" borderId="48" xfId="4" applyNumberFormat="1" applyFont="1" applyBorder="1" applyAlignment="1">
      <alignment horizontal="right" vertical="center" wrapText="1"/>
    </xf>
    <xf numFmtId="41" fontId="68" fillId="0" borderId="9" xfId="1" applyNumberFormat="1" applyFont="1" applyFill="1" applyBorder="1" applyAlignment="1">
      <alignment horizontal="right" vertical="center" wrapText="1"/>
    </xf>
    <xf numFmtId="41" fontId="66" fillId="3" borderId="9" xfId="4" applyNumberFormat="1" applyFont="1" applyFill="1" applyBorder="1" applyAlignment="1">
      <alignment horizontal="right" vertical="center" wrapText="1"/>
    </xf>
    <xf numFmtId="41" fontId="66" fillId="0" borderId="9" xfId="4" applyNumberFormat="1" applyFont="1" applyBorder="1" applyAlignment="1">
      <alignment horizontal="right" vertical="center" wrapText="1"/>
    </xf>
    <xf numFmtId="41" fontId="68" fillId="0" borderId="2" xfId="1" applyNumberFormat="1" applyFont="1" applyBorder="1" applyAlignment="1">
      <alignment horizontal="right" vertical="center" wrapText="1"/>
    </xf>
    <xf numFmtId="41" fontId="66" fillId="9" borderId="9" xfId="4" applyNumberFormat="1" applyFont="1" applyFill="1" applyBorder="1" applyAlignment="1">
      <alignment horizontal="right" vertical="center" wrapText="1"/>
    </xf>
    <xf numFmtId="41" fontId="68" fillId="0" borderId="31" xfId="1" applyNumberFormat="1" applyFont="1" applyBorder="1" applyAlignment="1">
      <alignment horizontal="right" vertical="center" wrapText="1"/>
    </xf>
    <xf numFmtId="41" fontId="66" fillId="9" borderId="79" xfId="4" applyNumberFormat="1" applyFont="1" applyFill="1" applyBorder="1" applyAlignment="1">
      <alignment horizontal="right" vertical="center" wrapText="1"/>
    </xf>
    <xf numFmtId="41" fontId="66" fillId="9" borderId="75" xfId="4" applyNumberFormat="1" applyFont="1" applyFill="1" applyBorder="1" applyAlignment="1">
      <alignment horizontal="right" vertical="center" wrapText="1"/>
    </xf>
    <xf numFmtId="41" fontId="66" fillId="9" borderId="15" xfId="4" applyNumberFormat="1" applyFont="1" applyFill="1" applyBorder="1" applyAlignment="1">
      <alignment horizontal="right" vertical="center" wrapText="1"/>
    </xf>
    <xf numFmtId="41" fontId="66" fillId="3" borderId="72" xfId="4" applyNumberFormat="1" applyFont="1" applyFill="1" applyBorder="1" applyAlignment="1">
      <alignment horizontal="right" vertical="center" wrapText="1"/>
    </xf>
    <xf numFmtId="41" fontId="68" fillId="0" borderId="9" xfId="0" applyNumberFormat="1" applyFont="1" applyBorder="1" applyAlignment="1">
      <alignment horizontal="right" vertical="center" wrapText="1"/>
    </xf>
    <xf numFmtId="41" fontId="68" fillId="25" borderId="25" xfId="4" applyNumberFormat="1" applyFont="1" applyFill="1" applyBorder="1" applyAlignment="1">
      <alignment horizontal="right" vertical="center" wrapText="1"/>
    </xf>
    <xf numFmtId="41" fontId="66" fillId="3" borderId="25" xfId="4" applyNumberFormat="1" applyFont="1" applyFill="1" applyBorder="1" applyAlignment="1">
      <alignment horizontal="right" vertical="center" wrapText="1"/>
    </xf>
    <xf numFmtId="41" fontId="66" fillId="9" borderId="25" xfId="4" applyNumberFormat="1" applyFont="1" applyFill="1" applyBorder="1" applyAlignment="1">
      <alignment horizontal="right" vertical="center" wrapText="1"/>
    </xf>
    <xf numFmtId="41" fontId="66" fillId="0" borderId="25" xfId="4" applyNumberFormat="1" applyFont="1" applyFill="1" applyBorder="1" applyAlignment="1">
      <alignment horizontal="right" vertical="center" wrapText="1"/>
    </xf>
    <xf numFmtId="41" fontId="68" fillId="0" borderId="25" xfId="4" applyNumberFormat="1" applyFont="1" applyFill="1" applyBorder="1" applyAlignment="1">
      <alignment horizontal="right" vertical="center" wrapText="1"/>
    </xf>
    <xf numFmtId="41" fontId="68" fillId="0" borderId="25" xfId="4" applyNumberFormat="1" applyFont="1" applyBorder="1" applyAlignment="1">
      <alignment horizontal="right" vertical="center" wrapText="1"/>
    </xf>
    <xf numFmtId="41" fontId="68" fillId="0" borderId="32" xfId="4" applyNumberFormat="1" applyFont="1" applyBorder="1" applyAlignment="1">
      <alignment horizontal="right" vertical="center" wrapText="1"/>
    </xf>
    <xf numFmtId="41" fontId="20" fillId="6" borderId="9" xfId="0" applyNumberFormat="1" applyFont="1" applyFill="1" applyBorder="1" applyAlignment="1">
      <alignment horizontal="right" vertical="center" wrapText="1" indent="1"/>
    </xf>
    <xf numFmtId="41" fontId="24" fillId="6" borderId="9" xfId="0" applyNumberFormat="1" applyFont="1" applyFill="1" applyBorder="1" applyAlignment="1">
      <alignment horizontal="right" vertical="center" wrapText="1" indent="1"/>
    </xf>
    <xf numFmtId="41" fontId="20" fillId="6" borderId="7" xfId="0" applyNumberFormat="1" applyFont="1" applyFill="1" applyBorder="1" applyAlignment="1">
      <alignment horizontal="right" vertical="center" wrapText="1" indent="1"/>
    </xf>
    <xf numFmtId="49" fontId="121" fillId="0" borderId="33" xfId="0" applyNumberFormat="1" applyFont="1" applyBorder="1" applyAlignment="1">
      <alignment horizontal="center" vertical="center"/>
    </xf>
    <xf numFmtId="0" fontId="122" fillId="0" borderId="2" xfId="0" applyFont="1" applyBorder="1" applyAlignment="1">
      <alignment horizontal="left" vertical="center" wrapText="1"/>
    </xf>
    <xf numFmtId="49" fontId="123" fillId="0" borderId="1" xfId="0" applyNumberFormat="1" applyFont="1" applyBorder="1" applyAlignment="1">
      <alignment horizontal="center" vertical="center"/>
    </xf>
    <xf numFmtId="49" fontId="123" fillId="0" borderId="4" xfId="0" applyNumberFormat="1" applyFont="1" applyBorder="1" applyAlignment="1">
      <alignment horizontal="center" vertical="center"/>
    </xf>
    <xf numFmtId="49" fontId="124" fillId="0" borderId="33" xfId="0" applyNumberFormat="1" applyFont="1" applyBorder="1" applyAlignment="1">
      <alignment horizontal="center" vertical="center"/>
    </xf>
    <xf numFmtId="0" fontId="123" fillId="0" borderId="2" xfId="0" applyFont="1" applyBorder="1" applyAlignment="1">
      <alignment horizontal="left" vertical="center" wrapText="1"/>
    </xf>
    <xf numFmtId="49" fontId="86" fillId="0" borderId="9" xfId="0" applyNumberFormat="1" applyFont="1" applyBorder="1" applyAlignment="1">
      <alignment horizontal="left" vertical="center"/>
    </xf>
    <xf numFmtId="49" fontId="85" fillId="0" borderId="9" xfId="0" applyNumberFormat="1" applyFont="1" applyBorder="1" applyAlignment="1">
      <alignment horizontal="left" vertical="center" wrapText="1" indent="1"/>
    </xf>
    <xf numFmtId="0" fontId="66" fillId="0" borderId="48" xfId="0" applyFont="1" applyBorder="1" applyAlignment="1">
      <alignment vertical="center"/>
    </xf>
    <xf numFmtId="41" fontId="25" fillId="0" borderId="9" xfId="0" applyNumberFormat="1" applyFont="1" applyBorder="1" applyAlignment="1">
      <alignment vertical="center"/>
    </xf>
    <xf numFmtId="0" fontId="125" fillId="0" borderId="29" xfId="0" applyFont="1" applyFill="1" applyBorder="1" applyAlignment="1">
      <alignment horizontal="center" vertical="center"/>
    </xf>
    <xf numFmtId="41" fontId="20" fillId="0" borderId="0" xfId="0" applyNumberFormat="1" applyFont="1"/>
    <xf numFmtId="0" fontId="66" fillId="0" borderId="9" xfId="0" applyFont="1" applyBorder="1" applyAlignment="1">
      <alignment horizontal="left" vertical="center"/>
    </xf>
    <xf numFmtId="0" fontId="20" fillId="27" borderId="0" xfId="0" applyFont="1" applyFill="1"/>
    <xf numFmtId="41" fontId="20" fillId="27" borderId="0" xfId="0" applyNumberFormat="1" applyFont="1" applyFill="1"/>
    <xf numFmtId="0" fontId="20" fillId="27" borderId="0" xfId="0" applyFont="1" applyFill="1" applyAlignment="1">
      <alignment horizontal="right"/>
    </xf>
    <xf numFmtId="41" fontId="20" fillId="25" borderId="32" xfId="0" applyNumberFormat="1" applyFont="1" applyFill="1" applyBorder="1" applyAlignment="1">
      <alignment horizontal="right" vertical="center" wrapText="1" indent="1"/>
    </xf>
    <xf numFmtId="41" fontId="20" fillId="25" borderId="72" xfId="0" applyNumberFormat="1" applyFont="1" applyFill="1" applyBorder="1" applyAlignment="1">
      <alignment horizontal="right" vertical="center" wrapText="1" indent="1"/>
    </xf>
    <xf numFmtId="41" fontId="20" fillId="25" borderId="25" xfId="0" applyNumberFormat="1" applyFont="1" applyFill="1" applyBorder="1" applyAlignment="1">
      <alignment horizontal="right" vertical="center" wrapText="1" indent="1"/>
    </xf>
    <xf numFmtId="41" fontId="19" fillId="25" borderId="75" xfId="0" applyNumberFormat="1" applyFont="1" applyFill="1" applyBorder="1" applyAlignment="1">
      <alignment horizontal="right" vertical="center" wrapText="1" indent="1"/>
    </xf>
    <xf numFmtId="41" fontId="24" fillId="25" borderId="9" xfId="0" applyNumberFormat="1" applyFont="1" applyFill="1" applyBorder="1" applyAlignment="1">
      <alignment horizontal="right" vertical="center" wrapText="1" indent="1"/>
    </xf>
    <xf numFmtId="41" fontId="20" fillId="25" borderId="7" xfId="0" applyNumberFormat="1" applyFont="1" applyFill="1" applyBorder="1" applyAlignment="1">
      <alignment horizontal="right" vertical="center" wrapText="1" indent="1"/>
    </xf>
    <xf numFmtId="41" fontId="24" fillId="25" borderId="25" xfId="0" applyNumberFormat="1" applyFont="1" applyFill="1" applyBorder="1" applyAlignment="1">
      <alignment horizontal="right" vertical="center" wrapText="1" indent="1"/>
    </xf>
    <xf numFmtId="41" fontId="25" fillId="25" borderId="9" xfId="0" applyNumberFormat="1" applyFont="1" applyFill="1" applyBorder="1" applyAlignment="1">
      <alignment vertical="center"/>
    </xf>
    <xf numFmtId="41" fontId="24" fillId="25" borderId="32" xfId="0" applyNumberFormat="1" applyFont="1" applyFill="1" applyBorder="1" applyAlignment="1">
      <alignment horizontal="right" vertical="center" wrapText="1" indent="1"/>
    </xf>
    <xf numFmtId="41" fontId="33" fillId="25" borderId="75" xfId="0" applyNumberFormat="1" applyFont="1" applyFill="1" applyBorder="1" applyAlignment="1">
      <alignment horizontal="right" vertical="center" wrapText="1" indent="1"/>
    </xf>
    <xf numFmtId="0" fontId="20" fillId="25" borderId="0" xfId="0" applyFont="1" applyFill="1" applyAlignment="1">
      <alignment horizontal="right"/>
    </xf>
    <xf numFmtId="0" fontId="66" fillId="8" borderId="95" xfId="0" applyFont="1" applyFill="1" applyBorder="1" applyAlignment="1">
      <alignment horizontal="left" vertical="center"/>
    </xf>
    <xf numFmtId="0" fontId="85" fillId="0" borderId="9" xfId="0" applyFont="1" applyBorder="1" applyAlignment="1">
      <alignment horizontal="left" vertical="center" wrapText="1"/>
    </xf>
    <xf numFmtId="0" fontId="66" fillId="8" borderId="69" xfId="0" applyFont="1" applyFill="1" applyBorder="1" applyAlignment="1">
      <alignment horizontal="center" vertical="center"/>
    </xf>
    <xf numFmtId="0" fontId="93" fillId="3" borderId="26" xfId="0" applyFont="1" applyFill="1" applyBorder="1" applyAlignment="1">
      <alignment vertical="center"/>
    </xf>
    <xf numFmtId="0" fontId="66" fillId="8" borderId="96" xfId="0" applyFont="1" applyFill="1" applyBorder="1" applyAlignment="1">
      <alignment horizontal="left" vertical="center"/>
    </xf>
    <xf numFmtId="0" fontId="66" fillId="8" borderId="94" xfId="0" applyFont="1" applyFill="1" applyBorder="1" applyAlignment="1">
      <alignment horizontal="center" vertical="center"/>
    </xf>
    <xf numFmtId="0" fontId="86" fillId="6" borderId="9" xfId="0" applyFont="1" applyFill="1" applyBorder="1" applyAlignment="1">
      <alignment vertical="center" wrapText="1"/>
    </xf>
    <xf numFmtId="0" fontId="85" fillId="0" borderId="9" xfId="0" applyFont="1" applyBorder="1" applyAlignment="1">
      <alignment vertical="center" wrapText="1"/>
    </xf>
    <xf numFmtId="0" fontId="86" fillId="0" borderId="9" xfId="0" applyFont="1" applyBorder="1" applyAlignment="1">
      <alignment vertical="center"/>
    </xf>
    <xf numFmtId="41" fontId="67" fillId="8" borderId="23" xfId="0" applyNumberFormat="1" applyFont="1" applyFill="1" applyBorder="1" applyAlignment="1">
      <alignment horizontal="right" vertical="center" wrapText="1"/>
    </xf>
    <xf numFmtId="41" fontId="67" fillId="8" borderId="41" xfId="0" applyNumberFormat="1" applyFont="1" applyFill="1" applyBorder="1" applyAlignment="1">
      <alignment horizontal="right" vertical="center" wrapText="1"/>
    </xf>
    <xf numFmtId="0" fontId="93" fillId="0" borderId="2" xfId="0" applyFont="1" applyBorder="1" applyAlignment="1">
      <alignment vertical="center"/>
    </xf>
    <xf numFmtId="41" fontId="93" fillId="0" borderId="82" xfId="0" applyNumberFormat="1" applyFont="1" applyFill="1" applyBorder="1" applyAlignment="1">
      <alignment horizontal="left" vertical="center" wrapText="1"/>
    </xf>
    <xf numFmtId="41" fontId="19" fillId="6" borderId="22" xfId="0" applyNumberFormat="1" applyFont="1" applyFill="1" applyBorder="1" applyAlignment="1">
      <alignment horizontal="right" vertical="center" wrapText="1" indent="1"/>
    </xf>
    <xf numFmtId="41" fontId="25" fillId="0" borderId="0" xfId="0" applyNumberFormat="1" applyFont="1" applyBorder="1" applyAlignment="1">
      <alignment vertical="center"/>
    </xf>
    <xf numFmtId="41" fontId="25" fillId="0" borderId="3" xfId="0" applyNumberFormat="1" applyFont="1" applyBorder="1" applyAlignment="1">
      <alignment vertical="center"/>
    </xf>
    <xf numFmtId="49" fontId="23" fillId="0" borderId="45" xfId="0" applyNumberFormat="1" applyFont="1" applyFill="1" applyBorder="1" applyAlignment="1">
      <alignment horizontal="left" vertical="center" wrapText="1"/>
    </xf>
    <xf numFmtId="49" fontId="23" fillId="0" borderId="45" xfId="0" applyNumberFormat="1" applyFont="1" applyFill="1" applyBorder="1" applyAlignment="1">
      <alignment horizontal="center" vertical="center" wrapText="1"/>
    </xf>
    <xf numFmtId="41" fontId="33" fillId="6" borderId="22" xfId="0" applyNumberFormat="1" applyFont="1" applyFill="1" applyBorder="1" applyAlignment="1">
      <alignment horizontal="right" vertical="center" wrapText="1" indent="1"/>
    </xf>
    <xf numFmtId="49" fontId="86" fillId="0" borderId="33" xfId="0" applyNumberFormat="1" applyFont="1" applyBorder="1" applyAlignment="1">
      <alignment horizontal="center" vertical="center"/>
    </xf>
    <xf numFmtId="49" fontId="86" fillId="0" borderId="35" xfId="0" applyNumberFormat="1" applyFont="1" applyBorder="1" applyAlignment="1">
      <alignment horizontal="center" vertical="center"/>
    </xf>
    <xf numFmtId="0" fontId="86" fillId="0" borderId="20" xfId="0" applyFont="1" applyBorder="1" applyAlignment="1">
      <alignment horizontal="left" vertical="center" wrapText="1" indent="1"/>
    </xf>
    <xf numFmtId="41" fontId="86" fillId="0" borderId="20" xfId="0" applyNumberFormat="1" applyFont="1" applyBorder="1" applyAlignment="1">
      <alignment horizontal="right" vertical="center" wrapText="1"/>
    </xf>
    <xf numFmtId="49" fontId="86" fillId="0" borderId="20" xfId="0" applyNumberFormat="1" applyFont="1" applyBorder="1" applyAlignment="1">
      <alignment horizontal="left" vertical="center" wrapText="1" indent="1"/>
    </xf>
    <xf numFmtId="41" fontId="66" fillId="25" borderId="72" xfId="1" applyNumberFormat="1" applyFont="1" applyFill="1" applyBorder="1" applyAlignment="1">
      <alignment horizontal="right" vertical="center" wrapText="1" indent="1"/>
    </xf>
    <xf numFmtId="41" fontId="66" fillId="0" borderId="8" xfId="1" applyNumberFormat="1" applyFont="1" applyBorder="1" applyAlignment="1">
      <alignment horizontal="right" vertical="center" wrapText="1" indent="1"/>
    </xf>
    <xf numFmtId="41" fontId="66" fillId="25" borderId="25" xfId="1" applyNumberFormat="1" applyFont="1" applyFill="1" applyBorder="1" applyAlignment="1">
      <alignment horizontal="right" vertical="center" wrapText="1" indent="1"/>
    </xf>
    <xf numFmtId="41" fontId="66" fillId="0" borderId="3" xfId="1" applyNumberFormat="1" applyFont="1" applyBorder="1" applyAlignment="1">
      <alignment horizontal="right" vertical="center" wrapText="1" indent="1"/>
    </xf>
    <xf numFmtId="41" fontId="66" fillId="0" borderId="25" xfId="1" applyNumberFormat="1" applyFont="1" applyBorder="1" applyAlignment="1">
      <alignment horizontal="right" vertical="center" wrapText="1" indent="1"/>
    </xf>
    <xf numFmtId="41" fontId="66" fillId="0" borderId="9" xfId="1" applyNumberFormat="1" applyFont="1" applyBorder="1" applyAlignment="1">
      <alignment horizontal="right" vertical="center" wrapText="1" indent="1"/>
    </xf>
    <xf numFmtId="41" fontId="68" fillId="0" borderId="25" xfId="1" applyNumberFormat="1" applyFont="1" applyBorder="1" applyAlignment="1">
      <alignment horizontal="right" vertical="center" wrapText="1" indent="1"/>
    </xf>
    <xf numFmtId="41" fontId="69" fillId="0" borderId="9" xfId="1" applyNumberFormat="1" applyFont="1" applyBorder="1" applyAlignment="1">
      <alignment horizontal="right" vertical="center" wrapText="1" indent="1"/>
    </xf>
    <xf numFmtId="41" fontId="69" fillId="0" borderId="3" xfId="1" applyNumberFormat="1" applyFont="1" applyBorder="1" applyAlignment="1">
      <alignment horizontal="right" vertical="center" wrapText="1" indent="1"/>
    </xf>
    <xf numFmtId="41" fontId="67" fillId="0" borderId="3" xfId="1" applyNumberFormat="1" applyFont="1" applyBorder="1" applyAlignment="1">
      <alignment horizontal="right" vertical="center" wrapText="1" indent="1"/>
    </xf>
    <xf numFmtId="41" fontId="66" fillId="25" borderId="32" xfId="1" applyNumberFormat="1" applyFont="1" applyFill="1" applyBorder="1" applyAlignment="1">
      <alignment horizontal="right" vertical="center" wrapText="1" indent="1"/>
    </xf>
    <xf numFmtId="41" fontId="66" fillId="0" borderId="18" xfId="1" applyNumberFormat="1" applyFont="1" applyBorder="1" applyAlignment="1">
      <alignment horizontal="right" vertical="center" wrapText="1" indent="1"/>
    </xf>
    <xf numFmtId="41" fontId="66" fillId="0" borderId="46" xfId="1" applyNumberFormat="1" applyFont="1" applyBorder="1" applyAlignment="1">
      <alignment horizontal="right" vertical="center" wrapText="1" indent="1"/>
    </xf>
    <xf numFmtId="41" fontId="66" fillId="9" borderId="75" xfId="1" applyNumberFormat="1" applyFont="1" applyFill="1" applyBorder="1" applyAlignment="1">
      <alignment horizontal="right" vertical="center" wrapText="1" indent="1"/>
    </xf>
    <xf numFmtId="41" fontId="66" fillId="9" borderId="22" xfId="1" applyNumberFormat="1" applyFont="1" applyFill="1" applyBorder="1" applyAlignment="1">
      <alignment horizontal="right" vertical="center" wrapText="1" indent="1"/>
    </xf>
    <xf numFmtId="0" fontId="66" fillId="0" borderId="33" xfId="0" applyFont="1" applyBorder="1" applyAlignment="1">
      <alignment horizontal="center" vertical="center"/>
    </xf>
    <xf numFmtId="0" fontId="93" fillId="0" borderId="90" xfId="0" applyFont="1" applyBorder="1" applyAlignment="1">
      <alignment vertical="center" wrapText="1"/>
    </xf>
    <xf numFmtId="41" fontId="82" fillId="0" borderId="9" xfId="0" applyNumberFormat="1" applyFont="1" applyBorder="1" applyAlignment="1">
      <alignment horizontal="right" vertical="center" wrapText="1" indent="1"/>
    </xf>
    <xf numFmtId="41" fontId="104" fillId="0" borderId="9" xfId="0" applyNumberFormat="1" applyFont="1" applyBorder="1" applyAlignment="1">
      <alignment horizontal="right" vertical="center" wrapText="1" indent="1"/>
    </xf>
    <xf numFmtId="41" fontId="98" fillId="0" borderId="9" xfId="0" applyNumberFormat="1" applyFont="1" applyBorder="1" applyAlignment="1">
      <alignment horizontal="right" vertical="center" wrapText="1" indent="1"/>
    </xf>
    <xf numFmtId="41" fontId="82" fillId="0" borderId="3" xfId="0" applyNumberFormat="1" applyFont="1" applyBorder="1" applyAlignment="1">
      <alignment horizontal="right" vertical="center" wrapText="1" indent="1"/>
    </xf>
    <xf numFmtId="41" fontId="98" fillId="0" borderId="3" xfId="0" applyNumberFormat="1" applyFont="1" applyBorder="1" applyAlignment="1">
      <alignment horizontal="right" vertical="center" wrapText="1" indent="1"/>
    </xf>
    <xf numFmtId="41" fontId="66" fillId="8" borderId="52" xfId="0" applyNumberFormat="1" applyFont="1" applyFill="1" applyBorder="1" applyAlignment="1">
      <alignment horizontal="right" vertical="center" wrapText="1" indent="1"/>
    </xf>
    <xf numFmtId="41" fontId="67" fillId="8" borderId="52" xfId="0" applyNumberFormat="1" applyFont="1" applyFill="1" applyBorder="1" applyAlignment="1">
      <alignment horizontal="right" vertical="center" wrapText="1" indent="1"/>
    </xf>
    <xf numFmtId="41" fontId="67" fillId="8" borderId="80" xfId="0" applyNumberFormat="1" applyFont="1" applyFill="1" applyBorder="1" applyAlignment="1">
      <alignment horizontal="right" vertical="center" wrapText="1" indent="1"/>
    </xf>
    <xf numFmtId="41" fontId="104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41" fontId="86" fillId="0" borderId="7" xfId="0" applyNumberFormat="1" applyFont="1" applyBorder="1" applyAlignment="1">
      <alignment horizontal="right" vertical="center" wrapText="1" indent="1"/>
    </xf>
    <xf numFmtId="41" fontId="86" fillId="0" borderId="8" xfId="0" applyNumberFormat="1" applyFont="1" applyBorder="1" applyAlignment="1">
      <alignment horizontal="right" vertical="center" wrapText="1" indent="1"/>
    </xf>
    <xf numFmtId="41" fontId="104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41" fontId="86" fillId="0" borderId="9" xfId="0" applyNumberFormat="1" applyFont="1" applyBorder="1" applyAlignment="1">
      <alignment horizontal="right" vertical="center" wrapText="1" indent="1"/>
    </xf>
    <xf numFmtId="41" fontId="86" fillId="0" borderId="3" xfId="0" applyNumberFormat="1" applyFont="1" applyBorder="1" applyAlignment="1">
      <alignment horizontal="right" vertical="center" wrapText="1" indent="1"/>
    </xf>
    <xf numFmtId="41" fontId="86" fillId="25" borderId="9" xfId="0" applyNumberFormat="1" applyFont="1" applyFill="1" applyBorder="1" applyAlignment="1">
      <alignment horizontal="right" vertical="center" wrapText="1" indent="1"/>
    </xf>
    <xf numFmtId="41" fontId="86" fillId="0" borderId="9" xfId="1" applyNumberFormat="1" applyFont="1" applyBorder="1" applyAlignment="1">
      <alignment horizontal="right" vertical="center" wrapText="1" indent="1"/>
    </xf>
    <xf numFmtId="41" fontId="93" fillId="0" borderId="9" xfId="1" applyNumberFormat="1" applyFont="1" applyBorder="1" applyAlignment="1">
      <alignment horizontal="right" vertical="center" wrapText="1" indent="1"/>
    </xf>
    <xf numFmtId="41" fontId="93" fillId="9" borderId="52" xfId="0" applyNumberFormat="1" applyFont="1" applyFill="1" applyBorder="1" applyAlignment="1">
      <alignment horizontal="right" vertical="center" wrapText="1" indent="1"/>
    </xf>
    <xf numFmtId="41" fontId="93" fillId="9" borderId="80" xfId="0" applyNumberFormat="1" applyFont="1" applyFill="1" applyBorder="1" applyAlignment="1">
      <alignment horizontal="right" vertical="center" wrapText="1" indent="1"/>
    </xf>
    <xf numFmtId="41" fontId="93" fillId="0" borderId="47" xfId="0" applyNumberFormat="1" applyFont="1" applyFill="1" applyBorder="1" applyAlignment="1">
      <alignment horizontal="right" vertical="center" wrapText="1" indent="1"/>
    </xf>
    <xf numFmtId="41" fontId="93" fillId="0" borderId="11" xfId="0" applyNumberFormat="1" applyFont="1" applyFill="1" applyBorder="1" applyAlignment="1">
      <alignment horizontal="right" vertical="center" wrapText="1" indent="1"/>
    </xf>
    <xf numFmtId="41" fontId="86" fillId="0" borderId="7" xfId="1" applyNumberFormat="1" applyFont="1" applyBorder="1" applyAlignment="1">
      <alignment horizontal="right" vertical="center" wrapText="1" indent="1"/>
    </xf>
    <xf numFmtId="41" fontId="85" fillId="0" borderId="7" xfId="0" applyNumberFormat="1" applyFont="1" applyBorder="1" applyAlignment="1">
      <alignment horizontal="right" vertical="center" wrapText="1" indent="1"/>
    </xf>
    <xf numFmtId="41" fontId="94" fillId="0" borderId="8" xfId="0" applyNumberFormat="1" applyFont="1" applyBorder="1" applyAlignment="1">
      <alignment horizontal="right" vertical="center" wrapText="1" indent="1"/>
    </xf>
    <xf numFmtId="41" fontId="93" fillId="0" borderId="18" xfId="1" applyNumberFormat="1" applyFont="1" applyBorder="1" applyAlignment="1">
      <alignment horizontal="right" vertical="center" wrapText="1" indent="1"/>
    </xf>
    <xf numFmtId="41" fontId="93" fillId="0" borderId="46" xfId="1" applyNumberFormat="1" applyFont="1" applyBorder="1" applyAlignment="1">
      <alignment horizontal="right" vertical="center" wrapText="1" indent="1"/>
    </xf>
    <xf numFmtId="41" fontId="93" fillId="9" borderId="15" xfId="0" applyNumberFormat="1" applyFont="1" applyFill="1" applyBorder="1" applyAlignment="1">
      <alignment horizontal="right" vertical="center" wrapText="1" indent="1"/>
    </xf>
    <xf numFmtId="41" fontId="86" fillId="25" borderId="9" xfId="0" applyNumberFormat="1" applyFont="1" applyFill="1" applyBorder="1" applyAlignment="1">
      <alignment horizontal="right" vertical="center" indent="1"/>
    </xf>
    <xf numFmtId="0" fontId="86" fillId="0" borderId="7" xfId="0" applyFont="1" applyBorder="1" applyAlignment="1">
      <alignment horizontal="left" vertical="center" wrapText="1" indent="1"/>
    </xf>
    <xf numFmtId="3" fontId="52" fillId="0" borderId="0" xfId="4" applyNumberFormat="1" applyFont="1" applyBorder="1" applyAlignment="1">
      <alignment horizontal="center" vertical="center"/>
    </xf>
    <xf numFmtId="41" fontId="93" fillId="8" borderId="79" xfId="0" applyNumberFormat="1" applyFont="1" applyFill="1" applyBorder="1" applyAlignment="1">
      <alignment horizontal="left" vertical="center" wrapText="1"/>
    </xf>
    <xf numFmtId="41" fontId="89" fillId="0" borderId="9" xfId="4" applyNumberFormat="1" applyFont="1" applyBorder="1" applyAlignment="1">
      <alignment horizontal="right" vertical="center" wrapText="1" indent="1"/>
    </xf>
    <xf numFmtId="41" fontId="54" fillId="0" borderId="9" xfId="4" applyNumberFormat="1" applyFont="1" applyBorder="1" applyAlignment="1">
      <alignment horizontal="right" vertical="center" wrapText="1" indent="1"/>
    </xf>
    <xf numFmtId="41" fontId="53" fillId="0" borderId="9" xfId="4" applyNumberFormat="1" applyFont="1" applyBorder="1" applyAlignment="1">
      <alignment horizontal="right" vertical="center" wrapText="1" indent="1"/>
    </xf>
    <xf numFmtId="41" fontId="87" fillId="0" borderId="9" xfId="4" applyNumberFormat="1" applyFont="1" applyBorder="1" applyAlignment="1">
      <alignment horizontal="right" vertical="center" wrapText="1" indent="1"/>
    </xf>
    <xf numFmtId="41" fontId="53" fillId="0" borderId="9" xfId="4" applyNumberFormat="1" applyFont="1" applyFill="1" applyBorder="1" applyAlignment="1">
      <alignment horizontal="right" vertical="center" wrapText="1" indent="1"/>
    </xf>
    <xf numFmtId="41" fontId="90" fillId="0" borderId="9" xfId="4" applyNumberFormat="1" applyFont="1" applyBorder="1" applyAlignment="1">
      <alignment horizontal="right" vertical="center" wrapText="1" indent="1"/>
    </xf>
    <xf numFmtId="41" fontId="87" fillId="0" borderId="9" xfId="4" applyNumberFormat="1" applyFont="1" applyFill="1" applyBorder="1" applyAlignment="1">
      <alignment horizontal="right" vertical="center" wrapText="1" indent="1"/>
    </xf>
    <xf numFmtId="41" fontId="87" fillId="3" borderId="3" xfId="4" applyNumberFormat="1" applyFont="1" applyFill="1" applyBorder="1" applyAlignment="1">
      <alignment horizontal="right" vertical="center" wrapText="1" indent="1"/>
    </xf>
    <xf numFmtId="41" fontId="89" fillId="25" borderId="9" xfId="4" applyNumberFormat="1" applyFont="1" applyFill="1" applyBorder="1" applyAlignment="1">
      <alignment horizontal="right" vertical="center" wrapText="1" indent="1"/>
    </xf>
    <xf numFmtId="41" fontId="87" fillId="0" borderId="25" xfId="4" applyNumberFormat="1" applyFont="1" applyFill="1" applyBorder="1" applyAlignment="1">
      <alignment horizontal="right" vertical="center" wrapText="1" indent="1"/>
    </xf>
    <xf numFmtId="41" fontId="89" fillId="0" borderId="25" xfId="4" applyNumberFormat="1" applyFont="1" applyBorder="1" applyAlignment="1">
      <alignment horizontal="right" vertical="center" wrapText="1" indent="1"/>
    </xf>
    <xf numFmtId="41" fontId="24" fillId="6" borderId="72" xfId="0" applyNumberFormat="1" applyFont="1" applyFill="1" applyBorder="1" applyAlignment="1">
      <alignment horizontal="right" vertical="center" wrapText="1" indent="1"/>
    </xf>
    <xf numFmtId="41" fontId="72" fillId="0" borderId="78" xfId="0" applyNumberFormat="1" applyFont="1" applyBorder="1" applyAlignment="1">
      <alignment horizontal="center" vertical="center" wrapText="1"/>
    </xf>
    <xf numFmtId="41" fontId="66" fillId="0" borderId="2" xfId="4" applyNumberFormat="1" applyFont="1" applyBorder="1" applyAlignment="1">
      <alignment horizontal="right" vertical="center" wrapText="1"/>
    </xf>
    <xf numFmtId="41" fontId="87" fillId="3" borderId="15" xfId="4" applyNumberFormat="1" applyFont="1" applyFill="1" applyBorder="1" applyAlignment="1">
      <alignment horizontal="right" vertical="center" wrapText="1" indent="1"/>
    </xf>
    <xf numFmtId="0" fontId="90" fillId="0" borderId="5" xfId="4" applyFont="1" applyBorder="1" applyAlignment="1">
      <alignment horizontal="left" vertical="center" indent="1"/>
    </xf>
    <xf numFmtId="41" fontId="90" fillId="0" borderId="18" xfId="4" applyNumberFormat="1" applyFont="1" applyBorder="1" applyAlignment="1">
      <alignment horizontal="right" vertical="center" wrapText="1" indent="1"/>
    </xf>
    <xf numFmtId="41" fontId="53" fillId="0" borderId="18" xfId="4" applyNumberFormat="1" applyFont="1" applyBorder="1" applyAlignment="1">
      <alignment horizontal="right" vertical="center" wrapText="1" indent="1"/>
    </xf>
    <xf numFmtId="41" fontId="89" fillId="0" borderId="18" xfId="4" applyNumberFormat="1" applyFont="1" applyBorder="1" applyAlignment="1">
      <alignment horizontal="right" vertical="center" wrapText="1" indent="1"/>
    </xf>
    <xf numFmtId="41" fontId="89" fillId="0" borderId="32" xfId="4" applyNumberFormat="1" applyFont="1" applyBorder="1" applyAlignment="1">
      <alignment horizontal="right" vertical="center" wrapText="1" indent="1"/>
    </xf>
    <xf numFmtId="0" fontId="87" fillId="4" borderId="24" xfId="4" applyFont="1" applyFill="1" applyBorder="1" applyAlignment="1">
      <alignment horizontal="left" vertical="center" indent="1"/>
    </xf>
    <xf numFmtId="41" fontId="87" fillId="4" borderId="15" xfId="4" applyNumberFormat="1" applyFont="1" applyFill="1" applyBorder="1" applyAlignment="1">
      <alignment horizontal="right" vertical="center" wrapText="1" indent="1"/>
    </xf>
    <xf numFmtId="41" fontId="87" fillId="4" borderId="6" xfId="4" applyNumberFormat="1" applyFont="1" applyFill="1" applyBorder="1" applyAlignment="1">
      <alignment horizontal="right" vertical="center" wrapText="1" indent="1"/>
    </xf>
    <xf numFmtId="41" fontId="87" fillId="3" borderId="6" xfId="4" applyNumberFormat="1" applyFont="1" applyFill="1" applyBorder="1" applyAlignment="1">
      <alignment horizontal="right" vertical="center" wrapText="1" indent="1"/>
    </xf>
    <xf numFmtId="0" fontId="87" fillId="3" borderId="24" xfId="4" applyFont="1" applyFill="1" applyBorder="1" applyAlignment="1">
      <alignment horizontal="left" vertical="center" wrapText="1"/>
    </xf>
    <xf numFmtId="0" fontId="89" fillId="0" borderId="33" xfId="0" applyFont="1" applyBorder="1" applyAlignment="1">
      <alignment horizontal="left" vertical="center" wrapText="1"/>
    </xf>
    <xf numFmtId="0" fontId="89" fillId="0" borderId="33" xfId="4" applyFont="1" applyBorder="1" applyAlignment="1">
      <alignment horizontal="left" vertical="center" indent="1"/>
    </xf>
    <xf numFmtId="0" fontId="89" fillId="0" borderId="5" xfId="4" applyFont="1" applyBorder="1" applyAlignment="1">
      <alignment horizontal="left" vertical="center" wrapText="1" indent="1"/>
    </xf>
    <xf numFmtId="41" fontId="53" fillId="0" borderId="0" xfId="4" applyNumberFormat="1" applyFont="1" applyBorder="1" applyAlignment="1">
      <alignment horizontal="right" vertical="center" wrapText="1" indent="1"/>
    </xf>
    <xf numFmtId="41" fontId="19" fillId="6" borderId="15" xfId="0" applyNumberFormat="1" applyFont="1" applyFill="1" applyBorder="1" applyAlignment="1">
      <alignment horizontal="right" vertical="center" wrapText="1" indent="1"/>
    </xf>
    <xf numFmtId="41" fontId="33" fillId="6" borderId="15" xfId="0" applyNumberFormat="1" applyFont="1" applyFill="1" applyBorder="1" applyAlignment="1">
      <alignment horizontal="right" vertical="center" wrapText="1" indent="1"/>
    </xf>
    <xf numFmtId="0" fontId="12" fillId="0" borderId="18" xfId="0" applyFont="1" applyBorder="1" applyAlignment="1">
      <alignment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96" fillId="0" borderId="9" xfId="0" applyFont="1" applyBorder="1" applyAlignment="1">
      <alignment horizontal="left" vertical="center" wrapText="1" indent="1"/>
    </xf>
    <xf numFmtId="41" fontId="93" fillId="0" borderId="48" xfId="0" applyNumberFormat="1" applyFont="1" applyBorder="1" applyAlignment="1">
      <alignment horizontal="right" vertical="center" wrapText="1"/>
    </xf>
    <xf numFmtId="41" fontId="68" fillId="25" borderId="25" xfId="1" applyNumberFormat="1" applyFont="1" applyFill="1" applyBorder="1" applyAlignment="1">
      <alignment horizontal="right" vertical="center" wrapText="1" indent="1"/>
    </xf>
    <xf numFmtId="41" fontId="68" fillId="0" borderId="9" xfId="1" applyNumberFormat="1" applyFont="1" applyBorder="1" applyAlignment="1">
      <alignment horizontal="right" vertical="center" wrapText="1" indent="1"/>
    </xf>
    <xf numFmtId="41" fontId="68" fillId="0" borderId="3" xfId="1" applyNumberFormat="1" applyFont="1" applyBorder="1" applyAlignment="1">
      <alignment horizontal="right" vertical="center" wrapText="1" indent="1"/>
    </xf>
    <xf numFmtId="3" fontId="68" fillId="0" borderId="0" xfId="0" applyNumberFormat="1" applyFont="1" applyBorder="1" applyAlignment="1">
      <alignment horizontal="right" vertical="center" indent="1"/>
    </xf>
    <xf numFmtId="0" fontId="69" fillId="0" borderId="0" xfId="0" applyFont="1"/>
    <xf numFmtId="41" fontId="108" fillId="0" borderId="72" xfId="6" applyNumberFormat="1" applyFont="1" applyBorder="1" applyAlignment="1">
      <alignment horizontal="right" vertical="center" wrapText="1"/>
    </xf>
    <xf numFmtId="41" fontId="108" fillId="0" borderId="8" xfId="6" applyNumberFormat="1" applyFont="1" applyBorder="1" applyAlignment="1">
      <alignment horizontal="right" vertical="center" wrapText="1"/>
    </xf>
    <xf numFmtId="41" fontId="108" fillId="0" borderId="25" xfId="6" applyNumberFormat="1" applyFont="1" applyBorder="1" applyAlignment="1">
      <alignment horizontal="right" vertical="center" wrapText="1"/>
    </xf>
    <xf numFmtId="41" fontId="108" fillId="0" borderId="3" xfId="6" applyNumberFormat="1" applyFont="1" applyBorder="1" applyAlignment="1">
      <alignment horizontal="right" vertical="center" wrapText="1"/>
    </xf>
    <xf numFmtId="41" fontId="109" fillId="0" borderId="25" xfId="6" applyNumberFormat="1" applyFont="1" applyFill="1" applyBorder="1" applyAlignment="1">
      <alignment horizontal="right" vertical="center" wrapText="1"/>
    </xf>
    <xf numFmtId="41" fontId="112" fillId="0" borderId="3" xfId="6" applyNumberFormat="1" applyFont="1" applyBorder="1" applyAlignment="1">
      <alignment horizontal="right" vertical="center" wrapText="1"/>
    </xf>
    <xf numFmtId="41" fontId="109" fillId="25" borderId="25" xfId="6" applyNumberFormat="1" applyFont="1" applyFill="1" applyBorder="1" applyAlignment="1">
      <alignment horizontal="right" vertical="center" wrapText="1"/>
    </xf>
    <xf numFmtId="41" fontId="108" fillId="25" borderId="25" xfId="6" applyNumberFormat="1" applyFont="1" applyFill="1" applyBorder="1" applyAlignment="1">
      <alignment horizontal="right" vertical="center" wrapText="1"/>
    </xf>
    <xf numFmtId="41" fontId="110" fillId="0" borderId="3" xfId="6" applyNumberFormat="1" applyFont="1" applyBorder="1" applyAlignment="1">
      <alignment horizontal="right" vertical="center" wrapText="1"/>
    </xf>
    <xf numFmtId="41" fontId="114" fillId="0" borderId="25" xfId="6" applyNumberFormat="1" applyFont="1" applyFill="1" applyBorder="1" applyAlignment="1">
      <alignment horizontal="right" vertical="center" wrapText="1"/>
    </xf>
    <xf numFmtId="41" fontId="115" fillId="0" borderId="32" xfId="6" applyNumberFormat="1" applyFont="1" applyFill="1" applyBorder="1" applyAlignment="1">
      <alignment horizontal="right" vertical="center" wrapText="1"/>
    </xf>
    <xf numFmtId="41" fontId="115" fillId="0" borderId="46" xfId="6" applyNumberFormat="1" applyFont="1" applyFill="1" applyBorder="1" applyAlignment="1">
      <alignment horizontal="right" vertical="center" wrapText="1"/>
    </xf>
    <xf numFmtId="41" fontId="108" fillId="9" borderId="75" xfId="6" applyNumberFormat="1" applyFont="1" applyFill="1" applyBorder="1" applyAlignment="1">
      <alignment horizontal="right" vertical="center" wrapText="1"/>
    </xf>
    <xf numFmtId="41" fontId="112" fillId="9" borderId="22" xfId="6" applyNumberFormat="1" applyFont="1" applyFill="1" applyBorder="1" applyAlignment="1">
      <alignment horizontal="right" vertical="center" wrapText="1"/>
    </xf>
    <xf numFmtId="41" fontId="114" fillId="0" borderId="25" xfId="1" applyNumberFormat="1" applyFont="1" applyBorder="1" applyAlignment="1">
      <alignment horizontal="right" vertical="center" wrapText="1"/>
    </xf>
    <xf numFmtId="41" fontId="117" fillId="0" borderId="9" xfId="6" applyNumberFormat="1" applyFont="1" applyBorder="1" applyAlignment="1">
      <alignment horizontal="right" vertical="center" wrapText="1"/>
    </xf>
    <xf numFmtId="41" fontId="117" fillId="0" borderId="3" xfId="6" applyNumberFormat="1" applyFont="1" applyBorder="1" applyAlignment="1">
      <alignment horizontal="right" vertical="center" wrapText="1"/>
    </xf>
    <xf numFmtId="41" fontId="116" fillId="0" borderId="25" xfId="6" applyNumberFormat="1" applyFont="1" applyBorder="1" applyAlignment="1">
      <alignment horizontal="right" vertical="center" wrapText="1"/>
    </xf>
    <xf numFmtId="41" fontId="114" fillId="0" borderId="25" xfId="6" applyNumberFormat="1" applyFont="1" applyBorder="1" applyAlignment="1">
      <alignment horizontal="right" vertical="center" wrapText="1"/>
    </xf>
    <xf numFmtId="41" fontId="114" fillId="0" borderId="20" xfId="6" applyNumberFormat="1" applyFont="1" applyBorder="1" applyAlignment="1">
      <alignment horizontal="right" vertical="center" wrapText="1"/>
    </xf>
    <xf numFmtId="41" fontId="114" fillId="0" borderId="21" xfId="6" applyNumberFormat="1" applyFont="1" applyBorder="1" applyAlignment="1">
      <alignment horizontal="right" vertical="center" wrapText="1"/>
    </xf>
    <xf numFmtId="41" fontId="112" fillId="0" borderId="9" xfId="6" applyNumberFormat="1" applyFont="1" applyBorder="1" applyAlignment="1">
      <alignment horizontal="right" vertical="center" wrapText="1"/>
    </xf>
    <xf numFmtId="41" fontId="114" fillId="0" borderId="3" xfId="6" applyNumberFormat="1" applyFont="1" applyBorder="1" applyAlignment="1">
      <alignment horizontal="right" vertical="center" wrapText="1"/>
    </xf>
    <xf numFmtId="41" fontId="114" fillId="0" borderId="32" xfId="6" applyNumberFormat="1" applyFont="1" applyBorder="1" applyAlignment="1">
      <alignment horizontal="right" vertical="center" wrapText="1"/>
    </xf>
    <xf numFmtId="41" fontId="114" fillId="0" borderId="46" xfId="6" applyNumberFormat="1" applyFont="1" applyBorder="1" applyAlignment="1">
      <alignment horizontal="right" vertical="center" wrapText="1"/>
    </xf>
    <xf numFmtId="41" fontId="112" fillId="0" borderId="9" xfId="6" applyNumberFormat="1" applyFont="1" applyFill="1" applyBorder="1" applyAlignment="1">
      <alignment horizontal="right" vertical="center" wrapText="1"/>
    </xf>
    <xf numFmtId="41" fontId="112" fillId="0" borderId="3" xfId="6" applyNumberFormat="1" applyFont="1" applyFill="1" applyBorder="1" applyAlignment="1">
      <alignment horizontal="right" vertical="center" wrapText="1"/>
    </xf>
    <xf numFmtId="41" fontId="114" fillId="0" borderId="3" xfId="6" applyNumberFormat="1" applyFont="1" applyFill="1" applyBorder="1" applyAlignment="1">
      <alignment horizontal="right" vertical="center" wrapText="1"/>
    </xf>
    <xf numFmtId="41" fontId="112" fillId="0" borderId="9" xfId="0" applyNumberFormat="1" applyFont="1" applyBorder="1" applyAlignment="1">
      <alignment horizontal="right" vertical="center" wrapText="1"/>
    </xf>
    <xf numFmtId="41" fontId="112" fillId="0" borderId="3" xfId="0" applyNumberFormat="1" applyFont="1" applyBorder="1" applyAlignment="1">
      <alignment horizontal="right" vertical="center" wrapText="1"/>
    </xf>
    <xf numFmtId="41" fontId="114" fillId="0" borderId="27" xfId="6" applyNumberFormat="1" applyFont="1" applyBorder="1" applyAlignment="1">
      <alignment horizontal="right" vertical="center" wrapText="1"/>
    </xf>
    <xf numFmtId="41" fontId="109" fillId="0" borderId="46" xfId="6" applyNumberFormat="1" applyFont="1" applyBorder="1" applyAlignment="1">
      <alignment horizontal="right" vertical="center" wrapText="1"/>
    </xf>
    <xf numFmtId="41" fontId="72" fillId="0" borderId="15" xfId="0" applyNumberFormat="1" applyFont="1" applyBorder="1" applyAlignment="1">
      <alignment horizontal="center" vertical="center" wrapText="1"/>
    </xf>
    <xf numFmtId="0" fontId="101" fillId="0" borderId="33" xfId="0" applyFont="1" applyBorder="1" applyAlignment="1">
      <alignment horizontal="center" vertical="center"/>
    </xf>
    <xf numFmtId="0" fontId="95" fillId="0" borderId="9" xfId="0" applyFont="1" applyFill="1" applyBorder="1" applyAlignment="1">
      <alignment vertical="center" wrapText="1"/>
    </xf>
    <xf numFmtId="41" fontId="126" fillId="0" borderId="9" xfId="0" applyNumberFormat="1" applyFont="1" applyBorder="1" applyAlignment="1">
      <alignment horizontal="right" vertical="center" wrapText="1" indent="1"/>
    </xf>
    <xf numFmtId="41" fontId="127" fillId="0" borderId="9" xfId="0" applyNumberFormat="1" applyFont="1" applyBorder="1" applyAlignment="1">
      <alignment horizontal="right" vertical="center" wrapText="1" indent="1"/>
    </xf>
    <xf numFmtId="41" fontId="128" fillId="0" borderId="9" xfId="0" applyNumberFormat="1" applyFont="1" applyBorder="1" applyAlignment="1">
      <alignment horizontal="right" vertical="center" wrapText="1" indent="1"/>
    </xf>
    <xf numFmtId="41" fontId="126" fillId="0" borderId="3" xfId="0" applyNumberFormat="1" applyFont="1" applyBorder="1" applyAlignment="1">
      <alignment horizontal="right" vertical="center" wrapText="1" indent="1"/>
    </xf>
    <xf numFmtId="41" fontId="84" fillId="0" borderId="0" xfId="0" applyNumberFormat="1" applyFont="1" applyAlignment="1">
      <alignment vertical="center" wrapText="1"/>
    </xf>
    <xf numFmtId="0" fontId="101" fillId="0" borderId="0" xfId="0" applyFont="1" applyAlignment="1">
      <alignment vertical="center"/>
    </xf>
    <xf numFmtId="0" fontId="129" fillId="0" borderId="33" xfId="0" applyFont="1" applyBorder="1" applyAlignment="1">
      <alignment horizontal="center" vertical="center"/>
    </xf>
    <xf numFmtId="0" fontId="95" fillId="0" borderId="9" xfId="5" applyFont="1" applyFill="1" applyBorder="1" applyAlignment="1">
      <alignment vertical="center" wrapText="1"/>
    </xf>
    <xf numFmtId="41" fontId="128" fillId="0" borderId="3" xfId="0" applyNumberFormat="1" applyFont="1" applyBorder="1" applyAlignment="1">
      <alignment horizontal="right" vertical="center" wrapText="1" indent="1"/>
    </xf>
    <xf numFmtId="41" fontId="96" fillId="0" borderId="10" xfId="0" applyNumberFormat="1" applyFont="1" applyBorder="1" applyAlignment="1">
      <alignment horizontal="right" vertical="center" indent="1"/>
    </xf>
    <xf numFmtId="41" fontId="96" fillId="0" borderId="0" xfId="0" applyNumberFormat="1" applyFont="1"/>
    <xf numFmtId="41" fontId="96" fillId="0" borderId="47" xfId="0" applyNumberFormat="1" applyFont="1" applyBorder="1" applyAlignment="1">
      <alignment horizontal="right" vertical="center" indent="1"/>
    </xf>
    <xf numFmtId="41" fontId="96" fillId="0" borderId="12" xfId="0" applyNumberFormat="1" applyFont="1" applyBorder="1" applyAlignment="1">
      <alignment horizontal="right" vertical="center" indent="1"/>
    </xf>
    <xf numFmtId="41" fontId="96" fillId="0" borderId="7" xfId="0" applyNumberFormat="1" applyFont="1" applyBorder="1" applyAlignment="1">
      <alignment horizontal="right" vertical="center" indent="1"/>
    </xf>
    <xf numFmtId="0" fontId="86" fillId="0" borderId="5" xfId="0" applyFont="1" applyBorder="1" applyAlignment="1">
      <alignment horizontal="center" vertical="center"/>
    </xf>
    <xf numFmtId="0" fontId="67" fillId="0" borderId="33" xfId="0" applyFont="1" applyBorder="1" applyAlignment="1">
      <alignment horizontal="left" vertical="center" wrapText="1"/>
    </xf>
    <xf numFmtId="41" fontId="97" fillId="0" borderId="25" xfId="4" applyNumberFormat="1" applyFont="1" applyFill="1" applyBorder="1" applyAlignment="1">
      <alignment horizontal="right" vertical="center" wrapText="1"/>
    </xf>
    <xf numFmtId="41" fontId="68" fillId="0" borderId="0" xfId="4" applyNumberFormat="1" applyFont="1" applyFill="1" applyAlignment="1">
      <alignment horizontal="right" vertical="center" wrapText="1"/>
    </xf>
    <xf numFmtId="41" fontId="55" fillId="0" borderId="72" xfId="0" applyNumberFormat="1" applyFont="1" applyBorder="1" applyAlignment="1">
      <alignment vertical="center"/>
    </xf>
    <xf numFmtId="41" fontId="55" fillId="0" borderId="25" xfId="0" applyNumberFormat="1" applyFont="1" applyBorder="1" applyAlignment="1">
      <alignment vertical="center"/>
    </xf>
    <xf numFmtId="41" fontId="55" fillId="0" borderId="25" xfId="0" applyNumberFormat="1" applyFont="1" applyFill="1" applyBorder="1" applyAlignment="1" applyProtection="1">
      <alignment horizontal="right" vertical="center"/>
      <protection locked="0"/>
    </xf>
    <xf numFmtId="41" fontId="56" fillId="0" borderId="91" xfId="0" applyNumberFormat="1" applyFont="1" applyBorder="1" applyAlignment="1">
      <alignment vertical="center"/>
    </xf>
    <xf numFmtId="41" fontId="56" fillId="0" borderId="92" xfId="0" applyNumberFormat="1" applyFont="1" applyBorder="1" applyAlignment="1">
      <alignment vertical="center"/>
    </xf>
    <xf numFmtId="41" fontId="56" fillId="0" borderId="72" xfId="0" applyNumberFormat="1" applyFont="1" applyBorder="1" applyAlignment="1">
      <alignment vertical="center"/>
    </xf>
    <xf numFmtId="41" fontId="56" fillId="0" borderId="25" xfId="0" applyNumberFormat="1" applyFont="1" applyBorder="1" applyAlignment="1">
      <alignment vertical="center"/>
    </xf>
    <xf numFmtId="41" fontId="66" fillId="9" borderId="75" xfId="0" applyNumberFormat="1" applyFont="1" applyFill="1" applyBorder="1" applyAlignment="1">
      <alignment horizontal="right" vertical="center"/>
    </xf>
    <xf numFmtId="41" fontId="69" fillId="0" borderId="25" xfId="1" applyNumberFormat="1" applyFont="1" applyBorder="1" applyAlignment="1">
      <alignment horizontal="right" vertical="center" wrapText="1" indent="1"/>
    </xf>
    <xf numFmtId="41" fontId="130" fillId="25" borderId="25" xfId="1" applyNumberFormat="1" applyFont="1" applyFill="1" applyBorder="1" applyAlignment="1">
      <alignment horizontal="right" vertical="center" wrapText="1" indent="1"/>
    </xf>
    <xf numFmtId="41" fontId="130" fillId="0" borderId="25" xfId="1" applyNumberFormat="1" applyFont="1" applyBorder="1" applyAlignment="1">
      <alignment horizontal="right" vertical="center" wrapText="1" indent="1"/>
    </xf>
    <xf numFmtId="41" fontId="97" fillId="0" borderId="25" xfId="1" applyNumberFormat="1" applyFont="1" applyBorder="1" applyAlignment="1">
      <alignment horizontal="right" vertical="center" wrapText="1" indent="1"/>
    </xf>
    <xf numFmtId="41" fontId="125" fillId="0" borderId="9" xfId="0" applyNumberFormat="1" applyFont="1" applyBorder="1" applyAlignment="1">
      <alignment horizontal="right" vertical="center" wrapText="1"/>
    </xf>
    <xf numFmtId="41" fontId="131" fillId="0" borderId="2" xfId="0" applyNumberFormat="1" applyFont="1" applyBorder="1" applyAlignment="1">
      <alignment horizontal="right" vertical="center" wrapText="1"/>
    </xf>
    <xf numFmtId="41" fontId="131" fillId="0" borderId="25" xfId="0" applyNumberFormat="1" applyFont="1" applyBorder="1" applyAlignment="1">
      <alignment horizontal="right" vertical="center" wrapText="1"/>
    </xf>
    <xf numFmtId="41" fontId="125" fillId="0" borderId="25" xfId="0" applyNumberFormat="1" applyFont="1" applyBorder="1" applyAlignment="1">
      <alignment horizontal="right" vertical="center" wrapText="1"/>
    </xf>
    <xf numFmtId="41" fontId="132" fillId="0" borderId="25" xfId="0" applyNumberFormat="1" applyFont="1" applyBorder="1" applyAlignment="1">
      <alignment horizontal="right" vertical="center" wrapText="1"/>
    </xf>
    <xf numFmtId="41" fontId="131" fillId="0" borderId="9" xfId="0" applyNumberFormat="1" applyFont="1" applyBorder="1" applyAlignment="1">
      <alignment horizontal="right" vertical="center" wrapText="1"/>
    </xf>
    <xf numFmtId="41" fontId="131" fillId="0" borderId="20" xfId="0" applyNumberFormat="1" applyFont="1" applyBorder="1" applyAlignment="1">
      <alignment horizontal="right" vertical="center" wrapText="1"/>
    </xf>
    <xf numFmtId="41" fontId="131" fillId="0" borderId="32" xfId="0" applyNumberFormat="1" applyFont="1" applyBorder="1" applyAlignment="1">
      <alignment horizontal="right" vertical="center" wrapText="1"/>
    </xf>
    <xf numFmtId="0" fontId="133" fillId="0" borderId="0" xfId="0" applyFont="1"/>
    <xf numFmtId="41" fontId="133" fillId="0" borderId="0" xfId="0" applyNumberFormat="1" applyFont="1" applyAlignment="1">
      <alignment vertical="center"/>
    </xf>
    <xf numFmtId="0" fontId="134" fillId="0" borderId="0" xfId="0" applyFont="1" applyAlignment="1">
      <alignment vertical="center"/>
    </xf>
    <xf numFmtId="0" fontId="133" fillId="0" borderId="0" xfId="0" applyFont="1" applyAlignment="1">
      <alignment vertical="center"/>
    </xf>
    <xf numFmtId="0" fontId="135" fillId="0" borderId="0" xfId="0" applyFont="1" applyAlignment="1">
      <alignment vertical="center"/>
    </xf>
    <xf numFmtId="41" fontId="133" fillId="0" borderId="0" xfId="0" applyNumberFormat="1" applyFont="1" applyAlignment="1">
      <alignment horizontal="center"/>
    </xf>
    <xf numFmtId="0" fontId="86" fillId="0" borderId="29" xfId="0" applyFont="1" applyBorder="1" applyAlignment="1">
      <alignment horizontal="center" vertical="center"/>
    </xf>
    <xf numFmtId="41" fontId="55" fillId="0" borderId="9" xfId="0" applyNumberFormat="1" applyFont="1" applyBorder="1" applyAlignment="1">
      <alignment horizontal="right" vertical="center" indent="1"/>
    </xf>
    <xf numFmtId="0" fontId="93" fillId="8" borderId="82" xfId="0" applyFont="1" applyFill="1" applyBorder="1" applyAlignment="1">
      <alignment vertical="center" wrapText="1"/>
    </xf>
    <xf numFmtId="41" fontId="104" fillId="8" borderId="47" xfId="0" applyNumberFormat="1" applyFont="1" applyFill="1" applyBorder="1" applyAlignment="1" applyProtection="1">
      <alignment horizontal="right" vertical="center" wrapText="1" indent="1"/>
      <protection locked="0"/>
    </xf>
    <xf numFmtId="41" fontId="86" fillId="8" borderId="47" xfId="0" applyNumberFormat="1" applyFont="1" applyFill="1" applyBorder="1" applyAlignment="1">
      <alignment horizontal="right" vertical="center" wrapText="1" indent="1"/>
    </xf>
    <xf numFmtId="41" fontId="86" fillId="8" borderId="11" xfId="0" applyNumberFormat="1" applyFont="1" applyFill="1" applyBorder="1" applyAlignment="1">
      <alignment horizontal="right" vertical="center" wrapText="1" indent="1"/>
    </xf>
    <xf numFmtId="41" fontId="98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41" fontId="86" fillId="0" borderId="77" xfId="0" applyNumberFormat="1" applyFont="1" applyBorder="1" applyAlignment="1">
      <alignment horizontal="right" vertical="center" wrapText="1"/>
    </xf>
    <xf numFmtId="41" fontId="85" fillId="0" borderId="77" xfId="0" applyNumberFormat="1" applyFont="1" applyBorder="1" applyAlignment="1">
      <alignment horizontal="right" vertical="center" wrapText="1"/>
    </xf>
    <xf numFmtId="41" fontId="85" fillId="0" borderId="80" xfId="0" applyNumberFormat="1" applyFont="1" applyBorder="1" applyAlignment="1">
      <alignment horizontal="right" vertical="center" wrapText="1"/>
    </xf>
    <xf numFmtId="41" fontId="86" fillId="0" borderId="9" xfId="0" applyNumberFormat="1" applyFont="1" applyBorder="1" applyAlignment="1">
      <alignment vertical="center" wrapText="1"/>
    </xf>
    <xf numFmtId="41" fontId="104" fillId="0" borderId="9" xfId="0" applyNumberFormat="1" applyFont="1" applyFill="1" applyBorder="1" applyAlignment="1" applyProtection="1">
      <alignment horizontal="right" vertical="center" wrapText="1"/>
      <protection locked="0"/>
    </xf>
    <xf numFmtId="41" fontId="86" fillId="0" borderId="18" xfId="0" applyNumberFormat="1" applyFont="1" applyBorder="1" applyAlignment="1">
      <alignment horizontal="right" vertical="center" wrapText="1"/>
    </xf>
    <xf numFmtId="41" fontId="86" fillId="0" borderId="46" xfId="0" applyNumberFormat="1" applyFont="1" applyBorder="1" applyAlignment="1">
      <alignment horizontal="right" vertical="center" wrapText="1" indent="2"/>
    </xf>
    <xf numFmtId="0" fontId="86" fillId="8" borderId="94" xfId="0" applyFont="1" applyFill="1" applyBorder="1" applyAlignment="1">
      <alignment horizontal="center" vertical="center"/>
    </xf>
    <xf numFmtId="41" fontId="93" fillId="0" borderId="9" xfId="0" applyNumberFormat="1" applyFont="1" applyBorder="1" applyAlignment="1">
      <alignment vertical="center" wrapText="1"/>
    </xf>
    <xf numFmtId="41" fontId="93" fillId="0" borderId="9" xfId="0" applyNumberFormat="1" applyFont="1" applyBorder="1" applyAlignment="1">
      <alignment horizontal="right" vertical="center" wrapText="1" indent="1"/>
    </xf>
    <xf numFmtId="41" fontId="86" fillId="0" borderId="3" xfId="0" applyNumberFormat="1" applyFont="1" applyBorder="1" applyAlignment="1">
      <alignment horizontal="right" vertical="center" wrapText="1" indent="2"/>
    </xf>
    <xf numFmtId="41" fontId="104" fillId="0" borderId="9" xfId="0" applyNumberFormat="1" applyFont="1" applyFill="1" applyBorder="1" applyAlignment="1" applyProtection="1">
      <alignment horizontal="center" vertical="center" wrapText="1"/>
      <protection locked="0"/>
    </xf>
    <xf numFmtId="41" fontId="86" fillId="0" borderId="9" xfId="0" applyNumberFormat="1" applyFont="1" applyBorder="1" applyAlignment="1">
      <alignment horizontal="center" vertical="center" wrapText="1"/>
    </xf>
    <xf numFmtId="0" fontId="86" fillId="0" borderId="32" xfId="0" applyFont="1" applyBorder="1" applyAlignment="1">
      <alignment vertical="center" wrapText="1"/>
    </xf>
    <xf numFmtId="0" fontId="86" fillId="8" borderId="29" xfId="0" applyFont="1" applyFill="1" applyBorder="1" applyAlignment="1">
      <alignment horizontal="center" vertical="center"/>
    </xf>
    <xf numFmtId="41" fontId="104" fillId="0" borderId="9" xfId="0" applyNumberFormat="1" applyFont="1" applyFill="1" applyBorder="1" applyAlignment="1" applyProtection="1">
      <alignment vertical="center" wrapText="1"/>
      <protection locked="0"/>
    </xf>
    <xf numFmtId="41" fontId="86" fillId="25" borderId="9" xfId="0" applyNumberFormat="1" applyFont="1" applyFill="1" applyBorder="1" applyAlignment="1">
      <alignment horizontal="center" vertical="center" wrapText="1"/>
    </xf>
    <xf numFmtId="41" fontId="86" fillId="0" borderId="25" xfId="0" applyNumberFormat="1" applyFont="1" applyBorder="1" applyAlignment="1">
      <alignment horizontal="center" vertical="center" wrapText="1"/>
    </xf>
    <xf numFmtId="49" fontId="94" fillId="0" borderId="35" xfId="0" applyNumberFormat="1" applyFont="1" applyBorder="1" applyAlignment="1">
      <alignment horizontal="center" vertical="center"/>
    </xf>
    <xf numFmtId="0" fontId="93" fillId="0" borderId="100" xfId="0" applyFont="1" applyBorder="1" applyAlignment="1">
      <alignment vertical="center" wrapText="1"/>
    </xf>
    <xf numFmtId="41" fontId="93" fillId="0" borderId="27" xfId="0" applyNumberFormat="1" applyFont="1" applyBorder="1" applyAlignment="1">
      <alignment horizontal="right" vertical="center" wrapText="1"/>
    </xf>
    <xf numFmtId="41" fontId="94" fillId="0" borderId="21" xfId="0" applyNumberFormat="1" applyFont="1" applyBorder="1" applyAlignment="1">
      <alignment horizontal="right" vertical="center" wrapText="1"/>
    </xf>
    <xf numFmtId="0" fontId="66" fillId="0" borderId="24" xfId="0" applyFont="1" applyBorder="1" applyAlignment="1">
      <alignment horizontal="center" vertical="center" wrapText="1"/>
    </xf>
    <xf numFmtId="49" fontId="66" fillId="0" borderId="6" xfId="0" applyNumberFormat="1" applyFont="1" applyBorder="1" applyAlignment="1">
      <alignment horizontal="center" vertical="center" wrapText="1"/>
    </xf>
    <xf numFmtId="0" fontId="93" fillId="3" borderId="15" xfId="6" applyFont="1" applyFill="1" applyBorder="1" applyAlignment="1">
      <alignment vertical="center" wrapText="1"/>
    </xf>
    <xf numFmtId="49" fontId="93" fillId="3" borderId="24" xfId="6" applyNumberFormat="1" applyFont="1" applyFill="1" applyBorder="1" applyAlignment="1">
      <alignment horizontal="center" vertical="center"/>
    </xf>
    <xf numFmtId="0" fontId="93" fillId="0" borderId="33" xfId="0" applyFont="1" applyBorder="1" applyAlignment="1">
      <alignment horizontal="center" vertical="center"/>
    </xf>
    <xf numFmtId="41" fontId="93" fillId="0" borderId="3" xfId="0" applyNumberFormat="1" applyFont="1" applyBorder="1" applyAlignment="1">
      <alignment horizontal="right" vertical="center" wrapText="1" indent="1"/>
    </xf>
    <xf numFmtId="41" fontId="98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41" fontId="93" fillId="0" borderId="3" xfId="1" applyNumberFormat="1" applyFont="1" applyBorder="1" applyAlignment="1">
      <alignment horizontal="right" vertical="center" wrapText="1" indent="1"/>
    </xf>
    <xf numFmtId="41" fontId="55" fillId="0" borderId="3" xfId="0" applyNumberFormat="1" applyFont="1" applyBorder="1" applyAlignment="1">
      <alignment vertical="center"/>
    </xf>
    <xf numFmtId="41" fontId="25" fillId="0" borderId="25" xfId="0" applyNumberFormat="1" applyFont="1" applyBorder="1" applyAlignment="1">
      <alignment vertical="center"/>
    </xf>
    <xf numFmtId="41" fontId="24" fillId="6" borderId="18" xfId="0" applyNumberFormat="1" applyFont="1" applyFill="1" applyBorder="1" applyAlignment="1">
      <alignment horizontal="right" vertical="center" wrapText="1" indent="1"/>
    </xf>
    <xf numFmtId="41" fontId="24" fillId="25" borderId="18" xfId="0" applyNumberFormat="1" applyFont="1" applyFill="1" applyBorder="1" applyAlignment="1">
      <alignment horizontal="right" vertical="center" wrapText="1" indent="1"/>
    </xf>
    <xf numFmtId="3" fontId="68" fillId="9" borderId="77" xfId="0" applyNumberFormat="1" applyFont="1" applyFill="1" applyBorder="1" applyAlignment="1">
      <alignment horizontal="right" vertical="center" indent="1"/>
    </xf>
    <xf numFmtId="41" fontId="68" fillId="0" borderId="98" xfId="0" applyNumberFormat="1" applyFont="1" applyBorder="1" applyAlignment="1">
      <alignment horizontal="right" vertical="center" wrapText="1" indent="1"/>
    </xf>
    <xf numFmtId="41" fontId="66" fillId="9" borderId="75" xfId="0" applyNumberFormat="1" applyFont="1" applyFill="1" applyBorder="1" applyAlignment="1">
      <alignment horizontal="right" vertical="center" wrapText="1" indent="1"/>
    </xf>
    <xf numFmtId="0" fontId="67" fillId="9" borderId="52" xfId="0" applyFont="1" applyFill="1" applyBorder="1" applyAlignment="1">
      <alignment horizontal="left" vertical="center" wrapText="1"/>
    </xf>
    <xf numFmtId="0" fontId="86" fillId="0" borderId="70" xfId="0" applyFont="1" applyFill="1" applyBorder="1" applyAlignment="1">
      <alignment horizontal="center" vertical="center"/>
    </xf>
    <xf numFmtId="41" fontId="86" fillId="0" borderId="31" xfId="0" applyNumberFormat="1" applyFont="1" applyFill="1" applyBorder="1" applyAlignment="1">
      <alignment horizontal="left" vertical="center" wrapText="1"/>
    </xf>
    <xf numFmtId="41" fontId="86" fillId="0" borderId="18" xfId="1" applyNumberFormat="1" applyFont="1" applyBorder="1" applyAlignment="1">
      <alignment horizontal="right" vertical="center" wrapText="1" indent="1"/>
    </xf>
    <xf numFmtId="41" fontId="86" fillId="0" borderId="47" xfId="1" applyNumberFormat="1" applyFont="1" applyBorder="1" applyAlignment="1">
      <alignment horizontal="right" vertical="center" wrapText="1" indent="1"/>
    </xf>
    <xf numFmtId="41" fontId="85" fillId="0" borderId="47" xfId="0" applyNumberFormat="1" applyFont="1" applyBorder="1" applyAlignment="1">
      <alignment horizontal="right" vertical="center" wrapText="1" indent="1"/>
    </xf>
    <xf numFmtId="41" fontId="86" fillId="0" borderId="46" xfId="0" applyNumberFormat="1" applyFont="1" applyBorder="1" applyAlignment="1">
      <alignment horizontal="right" vertical="center" wrapText="1" indent="1"/>
    </xf>
    <xf numFmtId="41" fontId="67" fillId="0" borderId="0" xfId="0" applyNumberFormat="1" applyFont="1" applyAlignment="1">
      <alignment horizontal="right" vertical="center" wrapText="1"/>
    </xf>
    <xf numFmtId="41" fontId="66" fillId="0" borderId="15" xfId="0" applyNumberFormat="1" applyFont="1" applyBorder="1" applyAlignment="1">
      <alignment horizontal="right" vertical="center" wrapText="1" indent="1"/>
    </xf>
    <xf numFmtId="3" fontId="68" fillId="0" borderId="98" xfId="0" applyNumberFormat="1" applyFont="1" applyBorder="1" applyAlignment="1">
      <alignment horizontal="right" vertical="center" indent="1"/>
    </xf>
    <xf numFmtId="41" fontId="98" fillId="0" borderId="25" xfId="0" applyNumberFormat="1" applyFont="1" applyBorder="1" applyAlignment="1">
      <alignment horizontal="right" vertical="center" wrapText="1"/>
    </xf>
    <xf numFmtId="41" fontId="104" fillId="0" borderId="25" xfId="0" applyNumberFormat="1" applyFont="1" applyBorder="1" applyAlignment="1">
      <alignment horizontal="right" vertical="center" wrapText="1"/>
    </xf>
    <xf numFmtId="49" fontId="85" fillId="0" borderId="18" xfId="0" applyNumberFormat="1" applyFont="1" applyBorder="1" applyAlignment="1">
      <alignment horizontal="left" vertical="center" wrapText="1" indent="1"/>
    </xf>
    <xf numFmtId="0" fontId="85" fillId="0" borderId="9" xfId="0" applyFont="1" applyBorder="1" applyAlignment="1">
      <alignment vertical="center"/>
    </xf>
    <xf numFmtId="49" fontId="85" fillId="0" borderId="47" xfId="0" applyNumberFormat="1" applyFont="1" applyBorder="1" applyAlignment="1">
      <alignment horizontal="left" vertical="center" wrapText="1" indent="1"/>
    </xf>
    <xf numFmtId="41" fontId="86" fillId="0" borderId="98" xfId="0" applyNumberFormat="1" applyFont="1" applyBorder="1" applyAlignment="1">
      <alignment horizontal="right" vertical="center" wrapText="1"/>
    </xf>
    <xf numFmtId="41" fontId="85" fillId="0" borderId="98" xfId="0" applyNumberFormat="1" applyFont="1" applyBorder="1" applyAlignment="1">
      <alignment horizontal="right" vertical="center" wrapText="1"/>
    </xf>
    <xf numFmtId="0" fontId="55" fillId="0" borderId="18" xfId="0" applyFont="1" applyBorder="1" applyAlignment="1">
      <alignment vertical="center"/>
    </xf>
    <xf numFmtId="41" fontId="65" fillId="25" borderId="18" xfId="6" applyNumberFormat="1" applyFont="1" applyFill="1" applyBorder="1" applyAlignment="1">
      <alignment horizontal="right" vertical="center" indent="1"/>
    </xf>
    <xf numFmtId="41" fontId="55" fillId="0" borderId="18" xfId="0" applyNumberFormat="1" applyFont="1" applyBorder="1" applyAlignment="1">
      <alignment horizontal="right" vertical="center" indent="1"/>
    </xf>
    <xf numFmtId="41" fontId="65" fillId="25" borderId="18" xfId="1" applyNumberFormat="1" applyFont="1" applyFill="1" applyBorder="1" applyAlignment="1">
      <alignment horizontal="right" vertical="center" indent="1"/>
    </xf>
    <xf numFmtId="41" fontId="64" fillId="3" borderId="15" xfId="1" applyNumberFormat="1" applyFont="1" applyFill="1" applyBorder="1" applyAlignment="1">
      <alignment horizontal="right" vertical="center" indent="1"/>
    </xf>
    <xf numFmtId="41" fontId="64" fillId="3" borderId="22" xfId="1" applyNumberFormat="1" applyFont="1" applyFill="1" applyBorder="1" applyAlignment="1">
      <alignment horizontal="right" vertical="center" indent="1"/>
    </xf>
    <xf numFmtId="41" fontId="98" fillId="9" borderId="75" xfId="0" applyNumberFormat="1" applyFont="1" applyFill="1" applyBorder="1" applyAlignment="1">
      <alignment horizontal="right" vertical="center" wrapText="1"/>
    </xf>
    <xf numFmtId="41" fontId="98" fillId="0" borderId="71" xfId="0" applyNumberFormat="1" applyFont="1" applyBorder="1" applyAlignment="1">
      <alignment horizontal="right" vertical="center" wrapText="1"/>
    </xf>
    <xf numFmtId="41" fontId="127" fillId="0" borderId="25" xfId="0" applyNumberFormat="1" applyFont="1" applyBorder="1" applyAlignment="1">
      <alignment horizontal="right" vertical="center" wrapText="1"/>
    </xf>
    <xf numFmtId="49" fontId="94" fillId="0" borderId="1" xfId="0" applyNumberFormat="1" applyFont="1" applyFill="1" applyBorder="1" applyAlignment="1">
      <alignment horizontal="center" vertical="center"/>
    </xf>
    <xf numFmtId="0" fontId="93" fillId="0" borderId="7" xfId="0" applyFont="1" applyFill="1" applyBorder="1" applyAlignment="1">
      <alignment vertical="center"/>
    </xf>
    <xf numFmtId="41" fontId="93" fillId="0" borderId="72" xfId="0" applyNumberFormat="1" applyFont="1" applyFill="1" applyBorder="1" applyAlignment="1">
      <alignment horizontal="right" vertical="center" wrapText="1"/>
    </xf>
    <xf numFmtId="41" fontId="94" fillId="0" borderId="8" xfId="0" applyNumberFormat="1" applyFont="1" applyFill="1" applyBorder="1" applyAlignment="1">
      <alignment horizontal="right" vertical="center" wrapText="1"/>
    </xf>
    <xf numFmtId="41" fontId="104" fillId="0" borderId="7" xfId="0" applyNumberFormat="1" applyFont="1" applyFill="1" applyBorder="1" applyAlignment="1" applyProtection="1">
      <alignment horizontal="center" vertical="center" wrapText="1"/>
      <protection locked="0"/>
    </xf>
    <xf numFmtId="41" fontId="89" fillId="0" borderId="9" xfId="4" applyNumberFormat="1" applyFont="1" applyFill="1" applyBorder="1" applyAlignment="1">
      <alignment horizontal="right" vertical="center" wrapText="1"/>
    </xf>
    <xf numFmtId="0" fontId="101" fillId="0" borderId="5" xfId="0" applyFont="1" applyBorder="1" applyAlignment="1">
      <alignment horizontal="center" vertical="center"/>
    </xf>
    <xf numFmtId="0" fontId="101" fillId="0" borderId="4" xfId="0" applyFont="1" applyBorder="1" applyAlignment="1">
      <alignment horizontal="center" vertical="center"/>
    </xf>
    <xf numFmtId="0" fontId="129" fillId="0" borderId="1" xfId="0" applyFont="1" applyBorder="1" applyAlignment="1">
      <alignment horizontal="center" vertical="center"/>
    </xf>
    <xf numFmtId="0" fontId="129" fillId="0" borderId="4" xfId="0" applyFont="1" applyBorder="1" applyAlignment="1">
      <alignment horizontal="center" vertical="center"/>
    </xf>
    <xf numFmtId="49" fontId="85" fillId="0" borderId="4" xfId="0" applyNumberFormat="1" applyFont="1" applyBorder="1" applyAlignment="1">
      <alignment horizontal="center" vertical="center"/>
    </xf>
    <xf numFmtId="41" fontId="85" fillId="0" borderId="11" xfId="0" applyNumberFormat="1" applyFont="1" applyBorder="1" applyAlignment="1">
      <alignment horizontal="right" vertical="center" wrapText="1"/>
    </xf>
    <xf numFmtId="49" fontId="86" fillId="0" borderId="20" xfId="0" applyNumberFormat="1" applyFont="1" applyBorder="1" applyAlignment="1">
      <alignment horizontal="left" vertical="center" indent="1"/>
    </xf>
    <xf numFmtId="41" fontId="85" fillId="0" borderId="27" xfId="0" applyNumberFormat="1" applyFont="1" applyBorder="1" applyAlignment="1">
      <alignment horizontal="right" vertical="center" wrapText="1"/>
    </xf>
    <xf numFmtId="41" fontId="10" fillId="0" borderId="0" xfId="0" applyNumberFormat="1" applyFont="1" applyAlignment="1">
      <alignment vertical="center"/>
    </xf>
    <xf numFmtId="3" fontId="68" fillId="9" borderId="77" xfId="0" applyNumberFormat="1" applyFont="1" applyFill="1" applyBorder="1" applyAlignment="1">
      <alignment horizontal="right" vertical="center" indent="1"/>
    </xf>
    <xf numFmtId="3" fontId="52" fillId="0" borderId="0" xfId="4" applyNumberFormat="1" applyFont="1" applyBorder="1" applyAlignment="1">
      <alignment horizontal="center" vertical="center"/>
    </xf>
    <xf numFmtId="41" fontId="66" fillId="0" borderId="98" xfId="0" applyNumberFormat="1" applyFont="1" applyBorder="1" applyAlignment="1">
      <alignment horizontal="right" vertical="center" wrapText="1" indent="1"/>
    </xf>
    <xf numFmtId="41" fontId="87" fillId="3" borderId="48" xfId="4" applyNumberFormat="1" applyFont="1" applyFill="1" applyBorder="1" applyAlignment="1">
      <alignment horizontal="right" vertical="center" wrapText="1" indent="1"/>
    </xf>
    <xf numFmtId="41" fontId="89" fillId="0" borderId="48" xfId="4" applyNumberFormat="1" applyFont="1" applyBorder="1" applyAlignment="1">
      <alignment horizontal="right" vertical="center" wrapText="1" indent="1"/>
    </xf>
    <xf numFmtId="0" fontId="87" fillId="0" borderId="39" xfId="5" applyFont="1" applyBorder="1" applyAlignment="1">
      <alignment horizontal="center" vertical="center" wrapText="1"/>
    </xf>
    <xf numFmtId="0" fontId="87" fillId="0" borderId="55" xfId="5" applyFont="1" applyBorder="1" applyAlignment="1">
      <alignment horizontal="center" vertical="center" wrapText="1"/>
    </xf>
    <xf numFmtId="41" fontId="87" fillId="3" borderId="2" xfId="4" applyNumberFormat="1" applyFont="1" applyFill="1" applyBorder="1" applyAlignment="1">
      <alignment horizontal="right" vertical="center" wrapText="1" indent="1"/>
    </xf>
    <xf numFmtId="41" fontId="89" fillId="0" borderId="2" xfId="4" applyNumberFormat="1" applyFont="1" applyBorder="1" applyAlignment="1">
      <alignment horizontal="right" vertical="center" wrapText="1" indent="1"/>
    </xf>
    <xf numFmtId="41" fontId="55" fillId="0" borderId="2" xfId="1" applyNumberFormat="1" applyFont="1" applyBorder="1" applyAlignment="1">
      <alignment horizontal="right" vertical="center" indent="1"/>
    </xf>
    <xf numFmtId="41" fontId="64" fillId="9" borderId="52" xfId="1" applyNumberFormat="1" applyFont="1" applyFill="1" applyBorder="1" applyAlignment="1">
      <alignment horizontal="right" vertical="center" indent="1"/>
    </xf>
    <xf numFmtId="41" fontId="76" fillId="9" borderId="52" xfId="1" applyNumberFormat="1" applyFont="1" applyFill="1" applyBorder="1" applyAlignment="1">
      <alignment horizontal="right" vertical="center" indent="1"/>
    </xf>
    <xf numFmtId="41" fontId="30" fillId="9" borderId="96" xfId="1" applyNumberFormat="1" applyFont="1" applyFill="1" applyBorder="1" applyAlignment="1">
      <alignment horizontal="right" vertical="center" indent="1"/>
    </xf>
    <xf numFmtId="164" fontId="30" fillId="9" borderId="52" xfId="1" applyNumberFormat="1" applyFont="1" applyFill="1" applyBorder="1" applyAlignment="1">
      <alignment vertical="center"/>
    </xf>
    <xf numFmtId="1" fontId="55" fillId="9" borderId="80" xfId="50" applyNumberFormat="1" applyFont="1" applyFill="1" applyBorder="1" applyAlignment="1">
      <alignment vertical="center"/>
    </xf>
    <xf numFmtId="41" fontId="55" fillId="0" borderId="9" xfId="1" applyNumberFormat="1" applyFont="1" applyBorder="1" applyAlignment="1">
      <alignment horizontal="right" vertical="center" indent="1"/>
    </xf>
    <xf numFmtId="0" fontId="64" fillId="0" borderId="20" xfId="6" applyFont="1" applyBorder="1" applyAlignment="1">
      <alignment horizontal="center" vertical="center" wrapText="1"/>
    </xf>
    <xf numFmtId="0" fontId="64" fillId="0" borderId="9" xfId="6" applyFont="1" applyBorder="1" applyAlignment="1">
      <alignment horizontal="center" vertical="center" wrapText="1"/>
    </xf>
    <xf numFmtId="0" fontId="86" fillId="0" borderId="9" xfId="0" applyFont="1" applyBorder="1" applyAlignment="1">
      <alignment horizontal="center" vertical="center"/>
    </xf>
    <xf numFmtId="41" fontId="104" fillId="0" borderId="9" xfId="0" applyNumberFormat="1" applyFont="1" applyBorder="1" applyAlignment="1">
      <alignment horizontal="right" vertical="center" wrapText="1"/>
    </xf>
    <xf numFmtId="3" fontId="65" fillId="0" borderId="5" xfId="6" applyNumberFormat="1" applyFont="1" applyBorder="1" applyAlignment="1">
      <alignment horizontal="center" vertical="center"/>
    </xf>
    <xf numFmtId="41" fontId="55" fillId="0" borderId="46" xfId="0" applyNumberFormat="1" applyFont="1" applyBorder="1" applyAlignment="1">
      <alignment vertical="center"/>
    </xf>
    <xf numFmtId="0" fontId="93" fillId="9" borderId="94" xfId="0" applyFont="1" applyFill="1" applyBorder="1" applyAlignment="1">
      <alignment horizontal="center" vertical="center"/>
    </xf>
    <xf numFmtId="0" fontId="86" fillId="0" borderId="18" xfId="0" applyFont="1" applyBorder="1" applyAlignment="1">
      <alignment horizontal="left" vertical="center" wrapText="1" indent="1"/>
    </xf>
    <xf numFmtId="41" fontId="93" fillId="9" borderId="22" xfId="0" applyNumberFormat="1" applyFont="1" applyFill="1" applyBorder="1" applyAlignment="1">
      <alignment horizontal="right" vertical="center" indent="1"/>
    </xf>
    <xf numFmtId="3" fontId="68" fillId="9" borderId="77" xfId="0" applyNumberFormat="1" applyFont="1" applyFill="1" applyBorder="1" applyAlignment="1">
      <alignment horizontal="right" vertical="center" indent="1"/>
    </xf>
    <xf numFmtId="3" fontId="52" fillId="0" borderId="0" xfId="4" applyNumberFormat="1" applyFont="1" applyBorder="1" applyAlignment="1">
      <alignment horizontal="center" vertical="center"/>
    </xf>
    <xf numFmtId="41" fontId="30" fillId="9" borderId="2" xfId="52" applyNumberFormat="1" applyFont="1" applyFill="1" applyBorder="1" applyAlignment="1">
      <alignment horizontal="right" vertical="center" indent="1"/>
    </xf>
    <xf numFmtId="41" fontId="96" fillId="0" borderId="18" xfId="0" applyNumberFormat="1" applyFont="1" applyBorder="1" applyAlignment="1">
      <alignment horizontal="right" vertical="center" indent="1"/>
    </xf>
    <xf numFmtId="41" fontId="96" fillId="0" borderId="87" xfId="0" applyNumberFormat="1" applyFont="1" applyBorder="1" applyAlignment="1">
      <alignment horizontal="right" vertical="center" indent="1"/>
    </xf>
    <xf numFmtId="41" fontId="86" fillId="0" borderId="47" xfId="0" applyNumberFormat="1" applyFont="1" applyBorder="1" applyAlignment="1">
      <alignment horizontal="right" vertical="center" indent="1"/>
    </xf>
    <xf numFmtId="41" fontId="87" fillId="0" borderId="2" xfId="4" applyNumberFormat="1" applyFont="1" applyBorder="1" applyAlignment="1">
      <alignment horizontal="right" vertical="center" wrapText="1" indent="1"/>
    </xf>
    <xf numFmtId="41" fontId="86" fillId="0" borderId="25" xfId="0" applyNumberFormat="1" applyFont="1" applyFill="1" applyBorder="1" applyAlignment="1">
      <alignment horizontal="right" vertical="center" wrapText="1"/>
    </xf>
    <xf numFmtId="41" fontId="93" fillId="0" borderId="25" xfId="0" applyNumberFormat="1" applyFont="1" applyFill="1" applyBorder="1" applyAlignment="1">
      <alignment horizontal="right" vertical="center" wrapText="1"/>
    </xf>
    <xf numFmtId="41" fontId="96" fillId="0" borderId="25" xfId="0" applyNumberFormat="1" applyFont="1" applyFill="1" applyBorder="1" applyAlignment="1">
      <alignment horizontal="right" vertical="center" wrapText="1"/>
    </xf>
    <xf numFmtId="41" fontId="86" fillId="0" borderId="9" xfId="0" applyNumberFormat="1" applyFont="1" applyFill="1" applyBorder="1" applyAlignment="1">
      <alignment horizontal="right" vertical="center" wrapText="1"/>
    </xf>
    <xf numFmtId="41" fontId="86" fillId="0" borderId="18" xfId="0" applyNumberFormat="1" applyFont="1" applyFill="1" applyBorder="1" applyAlignment="1">
      <alignment horizontal="right" vertical="center" wrapText="1"/>
    </xf>
    <xf numFmtId="41" fontId="86" fillId="0" borderId="98" xfId="0" applyNumberFormat="1" applyFont="1" applyFill="1" applyBorder="1" applyAlignment="1">
      <alignment horizontal="right" vertical="center" wrapText="1"/>
    </xf>
    <xf numFmtId="41" fontId="86" fillId="0" borderId="27" xfId="0" applyNumberFormat="1" applyFont="1" applyFill="1" applyBorder="1" applyAlignment="1">
      <alignment horizontal="right" vertical="center" wrapText="1"/>
    </xf>
    <xf numFmtId="41" fontId="93" fillId="0" borderId="71" xfId="0" applyNumberFormat="1" applyFont="1" applyFill="1" applyBorder="1" applyAlignment="1">
      <alignment horizontal="right" vertical="center" wrapText="1"/>
    </xf>
    <xf numFmtId="41" fontId="93" fillId="0" borderId="27" xfId="0" applyNumberFormat="1" applyFont="1" applyFill="1" applyBorder="1" applyAlignment="1">
      <alignment horizontal="right" vertical="center" wrapText="1"/>
    </xf>
    <xf numFmtId="41" fontId="86" fillId="0" borderId="72" xfId="0" applyNumberFormat="1" applyFont="1" applyFill="1" applyBorder="1" applyAlignment="1">
      <alignment horizontal="right" vertical="center" wrapText="1"/>
    </xf>
    <xf numFmtId="41" fontId="87" fillId="0" borderId="3" xfId="4" applyNumberFormat="1" applyFont="1" applyFill="1" applyBorder="1" applyAlignment="1">
      <alignment horizontal="right" vertical="center" wrapText="1" indent="1"/>
    </xf>
    <xf numFmtId="0" fontId="86" fillId="0" borderId="18" xfId="0" applyFont="1" applyBorder="1" applyAlignment="1">
      <alignment horizontal="left" vertical="center" indent="1"/>
    </xf>
    <xf numFmtId="41" fontId="104" fillId="0" borderId="18" xfId="0" applyNumberFormat="1" applyFont="1" applyBorder="1" applyAlignment="1">
      <alignment horizontal="right" vertical="center" wrapText="1"/>
    </xf>
    <xf numFmtId="41" fontId="94" fillId="0" borderId="20" xfId="0" applyNumberFormat="1" applyFont="1" applyBorder="1" applyAlignment="1">
      <alignment horizontal="right" vertical="center" wrapText="1"/>
    </xf>
    <xf numFmtId="0" fontId="93" fillId="0" borderId="16" xfId="0" applyFont="1" applyBorder="1" applyAlignment="1">
      <alignment vertical="center" wrapText="1"/>
    </xf>
    <xf numFmtId="41" fontId="94" fillId="0" borderId="16" xfId="0" applyNumberFormat="1" applyFont="1" applyBorder="1" applyAlignment="1">
      <alignment horizontal="right" vertical="center" wrapText="1"/>
    </xf>
    <xf numFmtId="49" fontId="95" fillId="0" borderId="35" xfId="0" applyNumberFormat="1" applyFont="1" applyBorder="1" applyAlignment="1">
      <alignment horizontal="center" vertical="center"/>
    </xf>
    <xf numFmtId="0" fontId="86" fillId="0" borderId="20" xfId="0" applyFont="1" applyBorder="1" applyAlignment="1">
      <alignment horizontal="left" vertical="center" indent="1"/>
    </xf>
    <xf numFmtId="41" fontId="96" fillId="0" borderId="27" xfId="0" applyNumberFormat="1" applyFont="1" applyBorder="1" applyAlignment="1">
      <alignment horizontal="right" vertical="center" wrapText="1"/>
    </xf>
    <xf numFmtId="41" fontId="96" fillId="0" borderId="27" xfId="0" applyNumberFormat="1" applyFont="1" applyFill="1" applyBorder="1" applyAlignment="1">
      <alignment horizontal="right" vertical="center" wrapText="1"/>
    </xf>
    <xf numFmtId="41" fontId="95" fillId="0" borderId="21" xfId="0" applyNumberFormat="1" applyFont="1" applyBorder="1" applyAlignment="1">
      <alignment horizontal="right" vertical="center" wrapText="1"/>
    </xf>
    <xf numFmtId="41" fontId="106" fillId="0" borderId="0" xfId="0" applyNumberFormat="1" applyFont="1" applyAlignment="1">
      <alignment vertical="center"/>
    </xf>
    <xf numFmtId="3" fontId="52" fillId="0" borderId="0" xfId="4" applyNumberFormat="1" applyFont="1" applyBorder="1" applyAlignment="1">
      <alignment horizontal="center" vertical="center"/>
    </xf>
    <xf numFmtId="3" fontId="52" fillId="0" borderId="0" xfId="4" applyNumberFormat="1" applyFont="1" applyBorder="1" applyAlignment="1">
      <alignment horizontal="center" vertical="center"/>
    </xf>
    <xf numFmtId="0" fontId="87" fillId="0" borderId="50" xfId="5" applyFont="1" applyBorder="1" applyAlignment="1">
      <alignment horizontal="center" vertical="center" wrapText="1"/>
    </xf>
    <xf numFmtId="9" fontId="89" fillId="0" borderId="2" xfId="4" applyNumberFormat="1" applyFont="1" applyBorder="1" applyAlignment="1">
      <alignment horizontal="right" vertical="center" wrapText="1" indent="1"/>
    </xf>
    <xf numFmtId="9" fontId="87" fillId="3" borderId="2" xfId="4" applyNumberFormat="1" applyFont="1" applyFill="1" applyBorder="1" applyAlignment="1">
      <alignment horizontal="right" vertical="center" wrapText="1" indent="1"/>
    </xf>
    <xf numFmtId="9" fontId="90" fillId="0" borderId="2" xfId="4" applyNumberFormat="1" applyFont="1" applyBorder="1" applyAlignment="1">
      <alignment horizontal="right" vertical="center" wrapText="1" indent="1"/>
    </xf>
    <xf numFmtId="9" fontId="90" fillId="0" borderId="31" xfId="4" applyNumberFormat="1" applyFont="1" applyBorder="1" applyAlignment="1">
      <alignment horizontal="right" vertical="center" wrapText="1" indent="1"/>
    </xf>
    <xf numFmtId="9" fontId="87" fillId="4" borderId="6" xfId="4" applyNumberFormat="1" applyFont="1" applyFill="1" applyBorder="1" applyAlignment="1">
      <alignment horizontal="right" vertical="center" wrapText="1" indent="1"/>
    </xf>
    <xf numFmtId="9" fontId="87" fillId="9" borderId="2" xfId="4" applyNumberFormat="1" applyFont="1" applyFill="1" applyBorder="1" applyAlignment="1">
      <alignment horizontal="right" vertical="center" wrapText="1" indent="1"/>
    </xf>
    <xf numFmtId="9" fontId="89" fillId="0" borderId="3" xfId="4" applyNumberFormat="1" applyFont="1" applyBorder="1" applyAlignment="1">
      <alignment horizontal="right" vertical="center" wrapText="1" indent="1"/>
    </xf>
    <xf numFmtId="41" fontId="87" fillId="3" borderId="79" xfId="4" applyNumberFormat="1" applyFont="1" applyFill="1" applyBorder="1" applyAlignment="1">
      <alignment horizontal="right" vertical="center" wrapText="1" indent="1"/>
    </xf>
    <xf numFmtId="9" fontId="87" fillId="3" borderId="34" xfId="4" applyNumberFormat="1" applyFont="1" applyFill="1" applyBorder="1" applyAlignment="1">
      <alignment horizontal="right" vertical="center" wrapText="1" indent="1"/>
    </xf>
    <xf numFmtId="41" fontId="89" fillId="25" borderId="25" xfId="4" applyNumberFormat="1" applyFont="1" applyFill="1" applyBorder="1" applyAlignment="1">
      <alignment horizontal="right" vertical="center" wrapText="1" indent="1"/>
    </xf>
    <xf numFmtId="41" fontId="61" fillId="0" borderId="16" xfId="0" applyNumberFormat="1" applyFont="1" applyBorder="1" applyAlignment="1">
      <alignment horizontal="center" vertical="center" wrapText="1"/>
    </xf>
    <xf numFmtId="41" fontId="87" fillId="0" borderId="46" xfId="4" applyNumberFormat="1" applyFont="1" applyFill="1" applyBorder="1" applyAlignment="1">
      <alignment horizontal="right" vertical="center" wrapText="1" indent="1"/>
    </xf>
    <xf numFmtId="41" fontId="87" fillId="4" borderId="75" xfId="4" applyNumberFormat="1" applyFont="1" applyFill="1" applyBorder="1" applyAlignment="1">
      <alignment horizontal="right" vertical="center" wrapText="1" indent="1"/>
    </xf>
    <xf numFmtId="0" fontId="61" fillId="0" borderId="16" xfId="0" applyFont="1" applyBorder="1" applyAlignment="1">
      <alignment horizontal="center" vertical="center" wrapText="1"/>
    </xf>
    <xf numFmtId="9" fontId="89" fillId="25" borderId="25" xfId="4" applyNumberFormat="1" applyFont="1" applyFill="1" applyBorder="1" applyAlignment="1">
      <alignment horizontal="right" vertical="center" wrapText="1" indent="1"/>
    </xf>
    <xf numFmtId="9" fontId="87" fillId="3" borderId="25" xfId="4" applyNumberFormat="1" applyFont="1" applyFill="1" applyBorder="1" applyAlignment="1">
      <alignment horizontal="right" vertical="center" wrapText="1" indent="1"/>
    </xf>
    <xf numFmtId="9" fontId="87" fillId="4" borderId="75" xfId="4" applyNumberFormat="1" applyFont="1" applyFill="1" applyBorder="1" applyAlignment="1">
      <alignment horizontal="right" vertical="center" wrapText="1" indent="1"/>
    </xf>
    <xf numFmtId="9" fontId="87" fillId="9" borderId="25" xfId="4" applyNumberFormat="1" applyFont="1" applyFill="1" applyBorder="1" applyAlignment="1">
      <alignment horizontal="right" vertical="center" wrapText="1" indent="1"/>
    </xf>
    <xf numFmtId="0" fontId="52" fillId="0" borderId="0" xfId="4" applyFont="1" applyAlignment="1">
      <alignment vertical="center"/>
    </xf>
    <xf numFmtId="41" fontId="137" fillId="0" borderId="16" xfId="0" applyNumberFormat="1" applyFont="1" applyBorder="1" applyAlignment="1">
      <alignment horizontal="center" vertical="center" wrapText="1"/>
    </xf>
    <xf numFmtId="9" fontId="87" fillId="3" borderId="9" xfId="4" applyNumberFormat="1" applyFont="1" applyFill="1" applyBorder="1" applyAlignment="1">
      <alignment horizontal="right" vertical="center" wrapText="1"/>
    </xf>
    <xf numFmtId="9" fontId="87" fillId="4" borderId="20" xfId="4" applyNumberFormat="1" applyFont="1" applyFill="1" applyBorder="1" applyAlignment="1" applyProtection="1">
      <alignment horizontal="right" vertical="center" wrapText="1"/>
    </xf>
    <xf numFmtId="9" fontId="87" fillId="3" borderId="75" xfId="4" applyNumberFormat="1" applyFont="1" applyFill="1" applyBorder="1" applyAlignment="1" applyProtection="1">
      <alignment horizontal="right" vertical="center" wrapText="1"/>
    </xf>
    <xf numFmtId="9" fontId="87" fillId="0" borderId="9" xfId="4" applyNumberFormat="1" applyFont="1" applyFill="1" applyBorder="1" applyAlignment="1">
      <alignment horizontal="right" vertical="center" wrapText="1"/>
    </xf>
    <xf numFmtId="0" fontId="89" fillId="0" borderId="0" xfId="4" applyFont="1" applyFill="1" applyBorder="1" applyAlignment="1">
      <alignment vertical="center"/>
    </xf>
    <xf numFmtId="0" fontId="89" fillId="0" borderId="33" xfId="4" applyFont="1" applyBorder="1" applyAlignment="1">
      <alignment horizontal="left" vertical="center" wrapText="1" indent="1"/>
    </xf>
    <xf numFmtId="0" fontId="89" fillId="0" borderId="9" xfId="4" applyFont="1" applyBorder="1" applyAlignment="1">
      <alignment horizontal="left" vertical="center" indent="1"/>
    </xf>
    <xf numFmtId="41" fontId="89" fillId="0" borderId="3" xfId="4" applyNumberFormat="1" applyFont="1" applyBorder="1" applyAlignment="1">
      <alignment horizontal="right" vertical="center" wrapText="1"/>
    </xf>
    <xf numFmtId="3" fontId="89" fillId="0" borderId="33" xfId="4" applyNumberFormat="1" applyFont="1" applyBorder="1" applyAlignment="1">
      <alignment horizontal="left" vertical="center" wrapText="1" indent="1"/>
    </xf>
    <xf numFmtId="0" fontId="89" fillId="0" borderId="9" xfId="4" applyFont="1" applyBorder="1" applyAlignment="1">
      <alignment horizontal="left" vertical="center" wrapText="1" indent="1"/>
    </xf>
    <xf numFmtId="41" fontId="89" fillId="0" borderId="3" xfId="4" applyNumberFormat="1" applyFont="1" applyFill="1" applyBorder="1" applyAlignment="1">
      <alignment horizontal="right" vertical="center" wrapText="1"/>
    </xf>
    <xf numFmtId="9" fontId="89" fillId="0" borderId="9" xfId="4" applyNumberFormat="1" applyFont="1" applyFill="1" applyBorder="1" applyAlignment="1">
      <alignment horizontal="right" vertical="center" wrapText="1"/>
    </xf>
    <xf numFmtId="3" fontId="68" fillId="9" borderId="77" xfId="0" applyNumberFormat="1" applyFont="1" applyFill="1" applyBorder="1" applyAlignment="1">
      <alignment horizontal="right" vertical="center" indent="1"/>
    </xf>
    <xf numFmtId="0" fontId="19" fillId="25" borderId="16" xfId="4" applyFont="1" applyFill="1" applyBorder="1" applyAlignment="1">
      <alignment horizontal="center" vertical="center" wrapText="1"/>
    </xf>
    <xf numFmtId="0" fontId="19" fillId="0" borderId="16" xfId="5" applyFont="1" applyBorder="1" applyAlignment="1">
      <alignment horizontal="center" vertical="center" wrapText="1"/>
    </xf>
    <xf numFmtId="0" fontId="19" fillId="0" borderId="41" xfId="5" applyFont="1" applyBorder="1" applyAlignment="1">
      <alignment horizontal="center" vertical="center" wrapText="1"/>
    </xf>
    <xf numFmtId="41" fontId="19" fillId="0" borderId="16" xfId="0" applyNumberFormat="1" applyFont="1" applyBorder="1" applyAlignment="1">
      <alignment horizontal="center" vertical="center" wrapText="1"/>
    </xf>
    <xf numFmtId="41" fontId="24" fillId="6" borderId="98" xfId="0" applyNumberFormat="1" applyFont="1" applyFill="1" applyBorder="1" applyAlignment="1">
      <alignment horizontal="right" vertical="center" wrapText="1" indent="1"/>
    </xf>
    <xf numFmtId="9" fontId="20" fillId="6" borderId="72" xfId="0" applyNumberFormat="1" applyFont="1" applyFill="1" applyBorder="1" applyAlignment="1">
      <alignment horizontal="right" vertical="center" wrapText="1" indent="1"/>
    </xf>
    <xf numFmtId="9" fontId="19" fillId="9" borderId="15" xfId="0" applyNumberFormat="1" applyFont="1" applyFill="1" applyBorder="1" applyAlignment="1">
      <alignment horizontal="right" vertical="center" wrapText="1" indent="1"/>
    </xf>
    <xf numFmtId="0" fontId="23" fillId="0" borderId="41" xfId="0" applyFont="1" applyBorder="1" applyAlignment="1">
      <alignment horizontal="left" vertical="center" wrapText="1"/>
    </xf>
    <xf numFmtId="41" fontId="33" fillId="6" borderId="74" xfId="0" applyNumberFormat="1" applyFont="1" applyFill="1" applyBorder="1" applyAlignment="1">
      <alignment horizontal="right" vertical="center" wrapText="1" indent="1"/>
    </xf>
    <xf numFmtId="41" fontId="33" fillId="25" borderId="74" xfId="0" applyNumberFormat="1" applyFont="1" applyFill="1" applyBorder="1" applyAlignment="1">
      <alignment horizontal="right" vertical="center" wrapText="1" indent="1"/>
    </xf>
    <xf numFmtId="41" fontId="19" fillId="6" borderId="74" xfId="0" applyNumberFormat="1" applyFont="1" applyFill="1" applyBorder="1" applyAlignment="1">
      <alignment horizontal="right" vertical="center" wrapText="1" indent="1"/>
    </xf>
    <xf numFmtId="41" fontId="33" fillId="6" borderId="23" xfId="0" applyNumberFormat="1" applyFont="1" applyFill="1" applyBorder="1" applyAlignment="1">
      <alignment horizontal="right" vertical="center" wrapText="1" indent="1"/>
    </xf>
    <xf numFmtId="0" fontId="21" fillId="0" borderId="41" xfId="0" applyFont="1" applyBorder="1" applyAlignment="1">
      <alignment horizontal="left" vertical="center" wrapText="1"/>
    </xf>
    <xf numFmtId="41" fontId="19" fillId="25" borderId="74" xfId="0" applyNumberFormat="1" applyFont="1" applyFill="1" applyBorder="1" applyAlignment="1">
      <alignment horizontal="right" vertical="center" wrapText="1" indent="1"/>
    </xf>
    <xf numFmtId="41" fontId="19" fillId="6" borderId="41" xfId="0" applyNumberFormat="1" applyFont="1" applyFill="1" applyBorder="1" applyAlignment="1">
      <alignment horizontal="right" vertical="center" wrapText="1" indent="1"/>
    </xf>
    <xf numFmtId="41" fontId="19" fillId="6" borderId="23" xfId="0" applyNumberFormat="1" applyFont="1" applyFill="1" applyBorder="1" applyAlignment="1">
      <alignment horizontal="right" vertical="center" wrapText="1" indent="1"/>
    </xf>
    <xf numFmtId="9" fontId="24" fillId="6" borderId="72" xfId="0" applyNumberFormat="1" applyFont="1" applyFill="1" applyBorder="1" applyAlignment="1">
      <alignment horizontal="right" vertical="center" wrapText="1" indent="1"/>
    </xf>
    <xf numFmtId="9" fontId="24" fillId="6" borderId="98" xfId="0" applyNumberFormat="1" applyFont="1" applyFill="1" applyBorder="1" applyAlignment="1">
      <alignment horizontal="right" vertical="center" wrapText="1" indent="1"/>
    </xf>
    <xf numFmtId="9" fontId="24" fillId="6" borderId="20" xfId="0" applyNumberFormat="1" applyFont="1" applyFill="1" applyBorder="1" applyAlignment="1">
      <alignment horizontal="right" vertical="center" wrapText="1" indent="1"/>
    </xf>
    <xf numFmtId="9" fontId="19" fillId="6" borderId="15" xfId="0" applyNumberFormat="1" applyFont="1" applyFill="1" applyBorder="1" applyAlignment="1">
      <alignment horizontal="right" vertical="center" wrapText="1" indent="1"/>
    </xf>
    <xf numFmtId="9" fontId="19" fillId="6" borderId="72" xfId="0" applyNumberFormat="1" applyFont="1" applyFill="1" applyBorder="1" applyAlignment="1">
      <alignment horizontal="right" vertical="center" wrapText="1" indent="1"/>
    </xf>
    <xf numFmtId="9" fontId="19" fillId="6" borderId="98" xfId="0" applyNumberFormat="1" applyFont="1" applyFill="1" applyBorder="1" applyAlignment="1">
      <alignment horizontal="right" vertical="center" wrapText="1" indent="1"/>
    </xf>
    <xf numFmtId="9" fontId="19" fillId="6" borderId="75" xfId="0" applyNumberFormat="1" applyFont="1" applyFill="1" applyBorder="1" applyAlignment="1">
      <alignment horizontal="right" vertical="center" wrapText="1" indent="1"/>
    </xf>
    <xf numFmtId="0" fontId="19" fillId="0" borderId="0" xfId="0" applyFont="1" applyFill="1"/>
    <xf numFmtId="41" fontId="93" fillId="0" borderId="32" xfId="0" applyNumberFormat="1" applyFont="1" applyBorder="1" applyAlignment="1">
      <alignment horizontal="right" vertical="center" wrapText="1"/>
    </xf>
    <xf numFmtId="41" fontId="66" fillId="0" borderId="16" xfId="0" applyNumberFormat="1" applyFont="1" applyBorder="1" applyAlignment="1">
      <alignment horizontal="center" vertical="center" wrapText="1"/>
    </xf>
    <xf numFmtId="41" fontId="30" fillId="0" borderId="16" xfId="0" applyNumberFormat="1" applyFont="1" applyBorder="1" applyAlignment="1">
      <alignment horizontal="center" vertical="center" wrapText="1"/>
    </xf>
    <xf numFmtId="49" fontId="98" fillId="9" borderId="15" xfId="0" applyNumberFormat="1" applyFont="1" applyFill="1" applyBorder="1" applyAlignment="1">
      <alignment horizontal="left" vertical="center" wrapText="1" indent="1"/>
    </xf>
    <xf numFmtId="41" fontId="94" fillId="9" borderId="75" xfId="0" applyNumberFormat="1" applyFont="1" applyFill="1" applyBorder="1" applyAlignment="1">
      <alignment horizontal="right" vertical="center" wrapText="1"/>
    </xf>
    <xf numFmtId="41" fontId="85" fillId="9" borderId="22" xfId="0" applyNumberFormat="1" applyFont="1" applyFill="1" applyBorder="1" applyAlignment="1">
      <alignment horizontal="right" vertical="center" wrapText="1"/>
    </xf>
    <xf numFmtId="41" fontId="93" fillId="0" borderId="16" xfId="0" applyNumberFormat="1" applyFont="1" applyBorder="1" applyAlignment="1">
      <alignment horizontal="right" vertical="center" wrapText="1"/>
    </xf>
    <xf numFmtId="9" fontId="66" fillId="25" borderId="72" xfId="1" applyNumberFormat="1" applyFont="1" applyFill="1" applyBorder="1" applyAlignment="1">
      <alignment horizontal="right" vertical="center" wrapText="1" indent="1"/>
    </xf>
    <xf numFmtId="9" fontId="66" fillId="25" borderId="32" xfId="1" applyNumberFormat="1" applyFont="1" applyFill="1" applyBorder="1" applyAlignment="1">
      <alignment horizontal="right" vertical="center" wrapText="1" indent="1"/>
    </xf>
    <xf numFmtId="9" fontId="66" fillId="9" borderId="75" xfId="1" applyNumberFormat="1" applyFont="1" applyFill="1" applyBorder="1" applyAlignment="1">
      <alignment horizontal="right" vertical="center" wrapText="1" indent="1"/>
    </xf>
    <xf numFmtId="9" fontId="68" fillId="25" borderId="72" xfId="1" applyNumberFormat="1" applyFont="1" applyFill="1" applyBorder="1" applyAlignment="1">
      <alignment horizontal="right" vertical="center" wrapText="1" indent="1"/>
    </xf>
    <xf numFmtId="41" fontId="68" fillId="25" borderId="72" xfId="1" applyNumberFormat="1" applyFont="1" applyFill="1" applyBorder="1" applyAlignment="1">
      <alignment horizontal="right" vertical="center" wrapText="1" indent="1"/>
    </xf>
    <xf numFmtId="41" fontId="97" fillId="25" borderId="25" xfId="1" applyNumberFormat="1" applyFont="1" applyFill="1" applyBorder="1" applyAlignment="1">
      <alignment horizontal="right" vertical="center" wrapText="1" indent="1"/>
    </xf>
    <xf numFmtId="3" fontId="68" fillId="9" borderId="15" xfId="0" applyNumberFormat="1" applyFont="1" applyFill="1" applyBorder="1" applyAlignment="1">
      <alignment horizontal="right" vertical="center" indent="1"/>
    </xf>
    <xf numFmtId="41" fontId="68" fillId="0" borderId="27" xfId="0" applyNumberFormat="1" applyFont="1" applyBorder="1" applyAlignment="1">
      <alignment horizontal="right" vertical="center" wrapText="1" indent="1"/>
    </xf>
    <xf numFmtId="41" fontId="68" fillId="0" borderId="20" xfId="0" applyNumberFormat="1" applyFont="1" applyBorder="1" applyAlignment="1">
      <alignment horizontal="right" vertical="center" wrapText="1" indent="1"/>
    </xf>
    <xf numFmtId="0" fontId="68" fillId="0" borderId="49" xfId="0" applyFont="1" applyBorder="1" applyAlignment="1">
      <alignment horizontal="left" vertical="center" wrapText="1"/>
    </xf>
    <xf numFmtId="0" fontId="68" fillId="0" borderId="2" xfId="0" applyFont="1" applyBorder="1" applyAlignment="1">
      <alignment horizontal="left" vertical="center" wrapText="1"/>
    </xf>
    <xf numFmtId="0" fontId="66" fillId="0" borderId="2" xfId="0" applyFont="1" applyBorder="1" applyAlignment="1">
      <alignment horizontal="left" vertical="center" wrapText="1"/>
    </xf>
    <xf numFmtId="0" fontId="68" fillId="0" borderId="31" xfId="0" applyFont="1" applyBorder="1" applyAlignment="1">
      <alignment horizontal="left" vertical="center" wrapText="1"/>
    </xf>
    <xf numFmtId="0" fontId="66" fillId="0" borderId="6" xfId="0" applyFont="1" applyBorder="1" applyAlignment="1">
      <alignment horizontal="left" vertical="center" wrapText="1"/>
    </xf>
    <xf numFmtId="9" fontId="68" fillId="0" borderId="72" xfId="0" applyNumberFormat="1" applyFont="1" applyBorder="1" applyAlignment="1">
      <alignment horizontal="right" vertical="center" wrapText="1" indent="1"/>
    </xf>
    <xf numFmtId="9" fontId="68" fillId="0" borderId="20" xfId="0" applyNumberFormat="1" applyFont="1" applyBorder="1" applyAlignment="1">
      <alignment horizontal="right" vertical="center" wrapText="1" indent="1"/>
    </xf>
    <xf numFmtId="41" fontId="66" fillId="9" borderId="14" xfId="50" applyNumberFormat="1" applyFont="1" applyFill="1" applyBorder="1" applyAlignment="1">
      <alignment horizontal="right" vertical="center" wrapText="1" indent="1"/>
    </xf>
    <xf numFmtId="9" fontId="68" fillId="9" borderId="75" xfId="0" applyNumberFormat="1" applyFont="1" applyFill="1" applyBorder="1" applyAlignment="1">
      <alignment horizontal="right" vertical="center" wrapText="1" indent="1"/>
    </xf>
    <xf numFmtId="9" fontId="68" fillId="0" borderId="98" xfId="0" applyNumberFormat="1" applyFont="1" applyBorder="1" applyAlignment="1">
      <alignment horizontal="right" vertical="center" wrapText="1" indent="1"/>
    </xf>
    <xf numFmtId="9" fontId="68" fillId="0" borderId="15" xfId="0" applyNumberFormat="1" applyFont="1" applyBorder="1" applyAlignment="1">
      <alignment horizontal="right" vertical="center" wrapText="1" indent="1"/>
    </xf>
    <xf numFmtId="0" fontId="66" fillId="0" borderId="41" xfId="0" applyFont="1" applyBorder="1" applyAlignment="1">
      <alignment horizontal="left" vertical="center" wrapText="1"/>
    </xf>
    <xf numFmtId="41" fontId="66" fillId="0" borderId="74" xfId="0" applyNumberFormat="1" applyFont="1" applyBorder="1" applyAlignment="1">
      <alignment horizontal="right" vertical="center" wrapText="1" indent="1"/>
    </xf>
    <xf numFmtId="41" fontId="66" fillId="0" borderId="41" xfId="0" applyNumberFormat="1" applyFont="1" applyBorder="1" applyAlignment="1">
      <alignment horizontal="right" vertical="center" wrapText="1" indent="1"/>
    </xf>
    <xf numFmtId="41" fontId="66" fillId="0" borderId="23" xfId="0" applyNumberFormat="1" applyFont="1" applyBorder="1" applyAlignment="1">
      <alignment horizontal="right" vertical="center" wrapText="1" indent="1"/>
    </xf>
    <xf numFmtId="49" fontId="67" fillId="9" borderId="101" xfId="0" applyNumberFormat="1" applyFont="1" applyFill="1" applyBorder="1" applyAlignment="1">
      <alignment horizontal="center" vertical="center"/>
    </xf>
    <xf numFmtId="0" fontId="66" fillId="0" borderId="78" xfId="0" applyFont="1" applyBorder="1" applyAlignment="1">
      <alignment horizontal="left" vertical="center" wrapText="1"/>
    </xf>
    <xf numFmtId="0" fontId="83" fillId="9" borderId="22" xfId="0" applyFont="1" applyFill="1" applyBorder="1" applyAlignment="1">
      <alignment vertical="center" wrapText="1"/>
    </xf>
    <xf numFmtId="0" fontId="67" fillId="0" borderId="51" xfId="0" applyFont="1" applyBorder="1" applyAlignment="1">
      <alignment vertical="center"/>
    </xf>
    <xf numFmtId="41" fontId="72" fillId="0" borderId="16" xfId="0" applyNumberFormat="1" applyFont="1" applyBorder="1" applyAlignment="1">
      <alignment horizontal="center" vertical="center" wrapText="1"/>
    </xf>
    <xf numFmtId="41" fontId="114" fillId="0" borderId="21" xfId="1" applyNumberFormat="1" applyFont="1" applyBorder="1" applyAlignment="1">
      <alignment horizontal="right" vertical="center" wrapText="1"/>
    </xf>
    <xf numFmtId="3" fontId="8" fillId="0" borderId="15" xfId="1" applyNumberFormat="1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41" fontId="104" fillId="0" borderId="72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15" xfId="1" applyNumberFormat="1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93" fillId="3" borderId="14" xfId="0" applyFont="1" applyFill="1" applyBorder="1" applyAlignment="1">
      <alignment vertical="center"/>
    </xf>
    <xf numFmtId="41" fontId="99" fillId="26" borderId="22" xfId="50" applyNumberFormat="1" applyFont="1" applyBorder="1" applyAlignment="1">
      <alignment horizontal="right" vertical="center" wrapText="1" indent="1"/>
    </xf>
    <xf numFmtId="41" fontId="66" fillId="0" borderId="0" xfId="0" applyNumberFormat="1" applyFont="1" applyAlignment="1">
      <alignment vertical="center" wrapText="1"/>
    </xf>
    <xf numFmtId="0" fontId="66" fillId="0" borderId="73" xfId="0" applyFont="1" applyBorder="1" applyAlignment="1">
      <alignment vertical="center"/>
    </xf>
    <xf numFmtId="0" fontId="93" fillId="3" borderId="97" xfId="0" applyFont="1" applyFill="1" applyBorder="1" applyAlignment="1">
      <alignment vertical="center"/>
    </xf>
    <xf numFmtId="9" fontId="104" fillId="0" borderId="9" xfId="0" applyNumberFormat="1" applyFont="1" applyBorder="1" applyAlignment="1">
      <alignment horizontal="right" vertical="center" wrapText="1" indent="1"/>
    </xf>
    <xf numFmtId="9" fontId="98" fillId="0" borderId="9" xfId="0" applyNumberFormat="1" applyFont="1" applyBorder="1" applyAlignment="1">
      <alignment horizontal="right" vertical="center" wrapText="1" indent="1"/>
    </xf>
    <xf numFmtId="9" fontId="104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9" fontId="98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9" fontId="86" fillId="0" borderId="9" xfId="1" applyNumberFormat="1" applyFont="1" applyBorder="1" applyAlignment="1">
      <alignment horizontal="right" vertical="center" wrapText="1" indent="1"/>
    </xf>
    <xf numFmtId="9" fontId="93" fillId="0" borderId="9" xfId="1" applyNumberFormat="1" applyFont="1" applyBorder="1" applyAlignment="1">
      <alignment horizontal="right" vertical="center" wrapText="1" indent="1"/>
    </xf>
    <xf numFmtId="9" fontId="93" fillId="9" borderId="52" xfId="0" applyNumberFormat="1" applyFont="1" applyFill="1" applyBorder="1" applyAlignment="1">
      <alignment horizontal="right" vertical="center" wrapText="1" indent="1"/>
    </xf>
    <xf numFmtId="9" fontId="86" fillId="0" borderId="7" xfId="0" applyNumberFormat="1" applyFont="1" applyBorder="1" applyAlignment="1">
      <alignment horizontal="right" vertical="center" wrapText="1" indent="1"/>
    </xf>
    <xf numFmtId="9" fontId="93" fillId="0" borderId="7" xfId="0" applyNumberFormat="1" applyFont="1" applyBorder="1" applyAlignment="1">
      <alignment horizontal="right" vertical="center" wrapText="1" indent="1"/>
    </xf>
    <xf numFmtId="9" fontId="86" fillId="0" borderId="7" xfId="1" applyNumberFormat="1" applyFont="1" applyBorder="1" applyAlignment="1">
      <alignment horizontal="right" vertical="center" wrapText="1" indent="1"/>
    </xf>
    <xf numFmtId="9" fontId="93" fillId="0" borderId="7" xfId="1" applyNumberFormat="1" applyFont="1" applyBorder="1" applyAlignment="1">
      <alignment horizontal="right" vertical="center" wrapText="1" indent="1"/>
    </xf>
    <xf numFmtId="9" fontId="93" fillId="9" borderId="15" xfId="0" applyNumberFormat="1" applyFont="1" applyFill="1" applyBorder="1" applyAlignment="1">
      <alignment horizontal="right" vertical="center" wrapText="1" indent="1"/>
    </xf>
    <xf numFmtId="9" fontId="93" fillId="9" borderId="15" xfId="0" applyNumberFormat="1" applyFont="1" applyFill="1" applyBorder="1" applyAlignment="1">
      <alignment horizontal="right" vertical="center" indent="1"/>
    </xf>
    <xf numFmtId="9" fontId="86" fillId="0" borderId="7" xfId="0" applyNumberFormat="1" applyFont="1" applyBorder="1" applyAlignment="1">
      <alignment horizontal="right" vertical="center" indent="1"/>
    </xf>
    <xf numFmtId="9" fontId="98" fillId="9" borderId="15" xfId="50" applyNumberFormat="1" applyFont="1" applyFill="1" applyBorder="1" applyAlignment="1">
      <alignment horizontal="right" vertical="center" indent="1"/>
    </xf>
    <xf numFmtId="41" fontId="86" fillId="0" borderId="10" xfId="0" applyNumberFormat="1" applyFont="1" applyBorder="1" applyAlignment="1">
      <alignment horizontal="right" vertical="center" indent="1"/>
    </xf>
    <xf numFmtId="9" fontId="86" fillId="0" borderId="10" xfId="0" applyNumberFormat="1" applyFont="1" applyBorder="1" applyAlignment="1">
      <alignment horizontal="right" vertical="center" indent="1"/>
    </xf>
    <xf numFmtId="41" fontId="86" fillId="0" borderId="12" xfId="0" applyNumberFormat="1" applyFont="1" applyBorder="1" applyAlignment="1">
      <alignment horizontal="right" vertical="center" indent="1"/>
    </xf>
    <xf numFmtId="9" fontId="86" fillId="0" borderId="12" xfId="0" applyNumberFormat="1" applyFont="1" applyBorder="1" applyAlignment="1">
      <alignment horizontal="right" vertical="center" indent="1"/>
    </xf>
    <xf numFmtId="0" fontId="96" fillId="0" borderId="12" xfId="0" applyFont="1" applyBorder="1"/>
    <xf numFmtId="0" fontId="96" fillId="0" borderId="7" xfId="0" applyFont="1" applyBorder="1"/>
    <xf numFmtId="0" fontId="86" fillId="0" borderId="20" xfId="0" applyFont="1" applyBorder="1" applyAlignment="1">
      <alignment horizontal="center" vertical="center"/>
    </xf>
    <xf numFmtId="9" fontId="87" fillId="3" borderId="3" xfId="4" applyNumberFormat="1" applyFont="1" applyFill="1" applyBorder="1" applyAlignment="1">
      <alignment horizontal="right" vertical="center" wrapText="1" indent="1"/>
    </xf>
    <xf numFmtId="9" fontId="87" fillId="3" borderId="9" xfId="4" applyNumberFormat="1" applyFont="1" applyFill="1" applyBorder="1" applyAlignment="1">
      <alignment horizontal="right" vertical="center" wrapText="1" indent="1"/>
    </xf>
    <xf numFmtId="9" fontId="89" fillId="25" borderId="9" xfId="4" applyNumberFormat="1" applyFont="1" applyFill="1" applyBorder="1" applyAlignment="1">
      <alignment horizontal="right" vertical="center" wrapText="1" indent="1"/>
    </xf>
    <xf numFmtId="9" fontId="87" fillId="0" borderId="9" xfId="4" applyNumberFormat="1" applyFont="1" applyFill="1" applyBorder="1" applyAlignment="1">
      <alignment horizontal="right" vertical="center" wrapText="1" indent="1"/>
    </xf>
    <xf numFmtId="9" fontId="89" fillId="0" borderId="9" xfId="4" applyNumberFormat="1" applyFont="1" applyFill="1" applyBorder="1" applyAlignment="1">
      <alignment horizontal="right" vertical="center" wrapText="1" indent="1"/>
    </xf>
    <xf numFmtId="9" fontId="87" fillId="4" borderId="20" xfId="4" applyNumberFormat="1" applyFont="1" applyFill="1" applyBorder="1" applyAlignment="1">
      <alignment horizontal="right" vertical="center" wrapText="1" indent="1"/>
    </xf>
    <xf numFmtId="9" fontId="93" fillId="0" borderId="41" xfId="0" applyNumberFormat="1" applyFont="1" applyFill="1" applyBorder="1" applyAlignment="1">
      <alignment horizontal="right" vertical="center" wrapText="1" indent="1"/>
    </xf>
    <xf numFmtId="9" fontId="93" fillId="0" borderId="9" xfId="0" applyNumberFormat="1" applyFont="1" applyFill="1" applyBorder="1" applyAlignment="1">
      <alignment horizontal="right" vertical="center" wrapText="1" indent="1"/>
    </xf>
    <xf numFmtId="9" fontId="86" fillId="0" borderId="9" xfId="0" applyNumberFormat="1" applyFont="1" applyFill="1" applyBorder="1" applyAlignment="1">
      <alignment horizontal="right" vertical="center" wrapText="1" indent="1"/>
    </xf>
    <xf numFmtId="9" fontId="86" fillId="0" borderId="7" xfId="0" applyNumberFormat="1" applyFont="1" applyFill="1" applyBorder="1" applyAlignment="1">
      <alignment horizontal="right" vertical="center" wrapText="1" indent="1"/>
    </xf>
    <xf numFmtId="9" fontId="86" fillId="0" borderId="18" xfId="0" applyNumberFormat="1" applyFont="1" applyFill="1" applyBorder="1" applyAlignment="1">
      <alignment horizontal="right" vertical="center" wrapText="1" indent="1"/>
    </xf>
    <xf numFmtId="9" fontId="86" fillId="0" borderId="47" xfId="0" applyNumberFormat="1" applyFont="1" applyFill="1" applyBorder="1" applyAlignment="1">
      <alignment horizontal="right" vertical="center" wrapText="1" indent="1"/>
    </xf>
    <xf numFmtId="9" fontId="96" fillId="0" borderId="47" xfId="0" applyNumberFormat="1" applyFont="1" applyFill="1" applyBorder="1" applyAlignment="1">
      <alignment horizontal="right" vertical="center" wrapText="1" indent="1"/>
    </xf>
    <xf numFmtId="9" fontId="96" fillId="0" borderId="9" xfId="0" applyNumberFormat="1" applyFont="1" applyFill="1" applyBorder="1" applyAlignment="1">
      <alignment horizontal="right" vertical="center" wrapText="1" indent="1"/>
    </xf>
    <xf numFmtId="9" fontId="93" fillId="0" borderId="7" xfId="0" applyNumberFormat="1" applyFont="1" applyFill="1" applyBorder="1" applyAlignment="1">
      <alignment horizontal="right" vertical="center" wrapText="1" indent="1"/>
    </xf>
    <xf numFmtId="9" fontId="86" fillId="0" borderId="52" xfId="0" applyNumberFormat="1" applyFont="1" applyFill="1" applyBorder="1" applyAlignment="1">
      <alignment horizontal="right" vertical="center" wrapText="1" indent="1"/>
    </xf>
    <xf numFmtId="9" fontId="93" fillId="0" borderId="15" xfId="0" applyNumberFormat="1" applyFont="1" applyFill="1" applyBorder="1" applyAlignment="1">
      <alignment horizontal="right" vertical="center" wrapText="1" indent="1"/>
    </xf>
    <xf numFmtId="9" fontId="93" fillId="0" borderId="52" xfId="0" applyNumberFormat="1" applyFont="1" applyFill="1" applyBorder="1" applyAlignment="1">
      <alignment horizontal="right" vertical="center" wrapText="1" indent="1"/>
    </xf>
    <xf numFmtId="9" fontId="114" fillId="0" borderId="25" xfId="6" applyNumberFormat="1" applyFont="1" applyBorder="1" applyAlignment="1">
      <alignment horizontal="right" vertical="center" wrapText="1" indent="1"/>
    </xf>
    <xf numFmtId="9" fontId="108" fillId="9" borderId="75" xfId="6" applyNumberFormat="1" applyFont="1" applyFill="1" applyBorder="1" applyAlignment="1">
      <alignment horizontal="right" vertical="center" wrapText="1" indent="1"/>
    </xf>
    <xf numFmtId="9" fontId="114" fillId="0" borderId="32" xfId="6" applyNumberFormat="1" applyFont="1" applyBorder="1" applyAlignment="1">
      <alignment horizontal="right" vertical="center" wrapText="1" indent="1"/>
    </xf>
    <xf numFmtId="9" fontId="114" fillId="0" borderId="27" xfId="6" applyNumberFormat="1" applyFont="1" applyBorder="1" applyAlignment="1">
      <alignment horizontal="right" vertical="center" wrapText="1" indent="1"/>
    </xf>
    <xf numFmtId="9" fontId="114" fillId="0" borderId="20" xfId="6" applyNumberFormat="1" applyFont="1" applyBorder="1" applyAlignment="1">
      <alignment horizontal="right" vertical="center" wrapText="1" indent="1"/>
    </xf>
    <xf numFmtId="41" fontId="114" fillId="25" borderId="25" xfId="6" applyNumberFormat="1" applyFont="1" applyFill="1" applyBorder="1" applyAlignment="1">
      <alignment horizontal="right" vertical="center" wrapText="1"/>
    </xf>
    <xf numFmtId="41" fontId="113" fillId="0" borderId="25" xfId="6" applyNumberFormat="1" applyFont="1" applyBorder="1" applyAlignment="1">
      <alignment horizontal="right" vertical="center" wrapText="1"/>
    </xf>
    <xf numFmtId="41" fontId="112" fillId="0" borderId="9" xfId="1" applyNumberFormat="1" applyFont="1" applyBorder="1" applyAlignment="1">
      <alignment horizontal="right" vertical="center" wrapText="1"/>
    </xf>
    <xf numFmtId="41" fontId="109" fillId="0" borderId="25" xfId="6" applyNumberFormat="1" applyFont="1" applyBorder="1" applyAlignment="1">
      <alignment horizontal="right" vertical="center" wrapText="1"/>
    </xf>
    <xf numFmtId="41" fontId="109" fillId="0" borderId="32" xfId="6" applyNumberFormat="1" applyFont="1" applyBorder="1" applyAlignment="1">
      <alignment horizontal="right" vertical="center" wrapText="1"/>
    </xf>
    <xf numFmtId="41" fontId="117" fillId="0" borderId="25" xfId="6" applyNumberFormat="1" applyFont="1" applyBorder="1" applyAlignment="1">
      <alignment horizontal="right" vertical="center" wrapText="1"/>
    </xf>
    <xf numFmtId="41" fontId="112" fillId="0" borderId="25" xfId="6" applyNumberFormat="1" applyFont="1" applyBorder="1" applyAlignment="1">
      <alignment horizontal="right" vertical="center" wrapText="1"/>
    </xf>
    <xf numFmtId="41" fontId="114" fillId="0" borderId="27" xfId="1" applyNumberFormat="1" applyFont="1" applyBorder="1" applyAlignment="1">
      <alignment horizontal="right" vertical="center" wrapText="1"/>
    </xf>
    <xf numFmtId="41" fontId="112" fillId="0" borderId="21" xfId="6" applyNumberFormat="1" applyFont="1" applyBorder="1" applyAlignment="1">
      <alignment horizontal="right" vertical="center" wrapText="1"/>
    </xf>
    <xf numFmtId="41" fontId="114" fillId="0" borderId="32" xfId="1" applyNumberFormat="1" applyFont="1" applyBorder="1" applyAlignment="1">
      <alignment horizontal="right" vertical="center" wrapText="1"/>
    </xf>
    <xf numFmtId="41" fontId="114" fillId="0" borderId="18" xfId="6" applyNumberFormat="1" applyFont="1" applyBorder="1" applyAlignment="1">
      <alignment horizontal="right" vertical="center" wrapText="1"/>
    </xf>
    <xf numFmtId="41" fontId="112" fillId="0" borderId="46" xfId="6" applyNumberFormat="1" applyFont="1" applyBorder="1" applyAlignment="1">
      <alignment horizontal="right" vertical="center" wrapText="1"/>
    </xf>
    <xf numFmtId="9" fontId="85" fillId="0" borderId="9" xfId="1" applyNumberFormat="1" applyFont="1" applyBorder="1" applyAlignment="1">
      <alignment horizontal="right" vertical="center" wrapText="1" indent="1"/>
    </xf>
    <xf numFmtId="9" fontId="94" fillId="0" borderId="9" xfId="1" applyNumberFormat="1" applyFont="1" applyBorder="1" applyAlignment="1">
      <alignment horizontal="right" vertical="center" wrapText="1" indent="1"/>
    </xf>
    <xf numFmtId="9" fontId="85" fillId="25" borderId="9" xfId="1" applyNumberFormat="1" applyFont="1" applyFill="1" applyBorder="1" applyAlignment="1">
      <alignment horizontal="right" vertical="center" wrapText="1" indent="1"/>
    </xf>
    <xf numFmtId="9" fontId="94" fillId="0" borderId="20" xfId="1" applyNumberFormat="1" applyFont="1" applyBorder="1" applyAlignment="1">
      <alignment horizontal="right" vertical="center" wrapText="1" indent="1"/>
    </xf>
    <xf numFmtId="9" fontId="85" fillId="0" borderId="20" xfId="1" applyNumberFormat="1" applyFont="1" applyBorder="1" applyAlignment="1">
      <alignment horizontal="right" vertical="center" wrapText="1" indent="1"/>
    </xf>
    <xf numFmtId="9" fontId="94" fillId="0" borderId="15" xfId="1" applyNumberFormat="1" applyFont="1" applyBorder="1" applyAlignment="1">
      <alignment horizontal="right" vertical="center" wrapText="1" indent="1"/>
    </xf>
    <xf numFmtId="9" fontId="85" fillId="0" borderId="7" xfId="1" applyNumberFormat="1" applyFont="1" applyBorder="1" applyAlignment="1">
      <alignment horizontal="right" vertical="center" wrapText="1" indent="1"/>
    </xf>
    <xf numFmtId="9" fontId="94" fillId="9" borderId="15" xfId="1" applyNumberFormat="1" applyFont="1" applyFill="1" applyBorder="1" applyAlignment="1">
      <alignment horizontal="right" vertical="center" wrapText="1" indent="1"/>
    </xf>
    <xf numFmtId="9" fontId="65" fillId="25" borderId="25" xfId="1" applyNumberFormat="1" applyFont="1" applyFill="1" applyBorder="1" applyAlignment="1">
      <alignment horizontal="right" vertical="center" indent="1"/>
    </xf>
    <xf numFmtId="9" fontId="64" fillId="3" borderId="15" xfId="1" applyNumberFormat="1" applyFont="1" applyFill="1" applyBorder="1" applyAlignment="1">
      <alignment horizontal="right" vertical="center" indent="1"/>
    </xf>
    <xf numFmtId="9" fontId="55" fillId="0" borderId="2" xfId="1" applyNumberFormat="1" applyFont="1" applyBorder="1" applyAlignment="1">
      <alignment horizontal="right" vertical="center" indent="1"/>
    </xf>
    <xf numFmtId="9" fontId="30" fillId="9" borderId="82" xfId="52" applyNumberFormat="1" applyFont="1" applyFill="1" applyBorder="1" applyAlignment="1">
      <alignment horizontal="right" vertical="center" indent="1"/>
    </xf>
    <xf numFmtId="41" fontId="66" fillId="0" borderId="6" xfId="0" applyNumberFormat="1" applyFont="1" applyBorder="1" applyAlignment="1">
      <alignment horizontal="center" vertical="center" wrapText="1"/>
    </xf>
    <xf numFmtId="41" fontId="66" fillId="3" borderId="55" xfId="4" applyNumberFormat="1" applyFont="1" applyFill="1" applyBorder="1" applyAlignment="1">
      <alignment horizontal="right" vertical="center" wrapText="1"/>
    </xf>
    <xf numFmtId="41" fontId="68" fillId="0" borderId="2" xfId="4" applyNumberFormat="1" applyFont="1" applyBorder="1" applyAlignment="1">
      <alignment horizontal="right" vertical="center" wrapText="1"/>
    </xf>
    <xf numFmtId="41" fontId="66" fillId="0" borderId="2" xfId="4" applyNumberFormat="1" applyFont="1" applyFill="1" applyBorder="1" applyAlignment="1">
      <alignment horizontal="right" vertical="center" wrapText="1"/>
    </xf>
    <xf numFmtId="0" fontId="68" fillId="0" borderId="69" xfId="4" applyFont="1" applyFill="1" applyBorder="1" applyAlignment="1">
      <alignment horizontal="left" vertical="center"/>
    </xf>
    <xf numFmtId="41" fontId="66" fillId="3" borderId="16" xfId="4" applyNumberFormat="1" applyFont="1" applyFill="1" applyBorder="1" applyAlignment="1">
      <alignment horizontal="right" vertical="center" wrapText="1"/>
    </xf>
    <xf numFmtId="41" fontId="66" fillId="3" borderId="71" xfId="4" applyNumberFormat="1" applyFont="1" applyFill="1" applyBorder="1" applyAlignment="1">
      <alignment horizontal="right" vertical="center" wrapText="1"/>
    </xf>
    <xf numFmtId="41" fontId="68" fillId="0" borderId="27" xfId="4" applyNumberFormat="1" applyFont="1" applyBorder="1" applyAlignment="1">
      <alignment horizontal="right" vertical="center" wrapText="1"/>
    </xf>
    <xf numFmtId="41" fontId="8" fillId="0" borderId="34" xfId="0" applyNumberFormat="1" applyFont="1" applyBorder="1" applyAlignment="1">
      <alignment horizontal="center" vertical="center" wrapText="1"/>
    </xf>
    <xf numFmtId="9" fontId="68" fillId="0" borderId="3" xfId="4" applyNumberFormat="1" applyFont="1" applyBorder="1" applyAlignment="1">
      <alignment horizontal="right" vertical="center"/>
    </xf>
    <xf numFmtId="9" fontId="66" fillId="3" borderId="17" xfId="4" applyNumberFormat="1" applyFont="1" applyFill="1" applyBorder="1" applyAlignment="1">
      <alignment horizontal="right" vertical="center" wrapText="1"/>
    </xf>
    <xf numFmtId="9" fontId="68" fillId="0" borderId="3" xfId="4" applyNumberFormat="1" applyFont="1" applyFill="1" applyBorder="1" applyAlignment="1">
      <alignment horizontal="right" vertical="center"/>
    </xf>
    <xf numFmtId="9" fontId="68" fillId="0" borderId="3" xfId="4" applyNumberFormat="1" applyFont="1" applyFill="1" applyBorder="1" applyAlignment="1">
      <alignment horizontal="right" vertical="center" wrapText="1"/>
    </xf>
    <xf numFmtId="9" fontId="66" fillId="4" borderId="22" xfId="4" applyNumberFormat="1" applyFont="1" applyFill="1" applyBorder="1" applyAlignment="1">
      <alignment horizontal="right" vertical="center" wrapText="1"/>
    </xf>
    <xf numFmtId="41" fontId="68" fillId="0" borderId="9" xfId="4" applyNumberFormat="1" applyFont="1" applyBorder="1" applyAlignment="1">
      <alignment vertical="center"/>
    </xf>
    <xf numFmtId="41" fontId="68" fillId="0" borderId="9" xfId="4" applyNumberFormat="1" applyFont="1" applyFill="1" applyBorder="1" applyAlignment="1">
      <alignment vertical="center"/>
    </xf>
    <xf numFmtId="41" fontId="68" fillId="0" borderId="9" xfId="4" applyNumberFormat="1" applyFont="1" applyFill="1" applyBorder="1" applyAlignment="1">
      <alignment vertical="center" wrapText="1"/>
    </xf>
    <xf numFmtId="9" fontId="68" fillId="0" borderId="46" xfId="4" applyNumberFormat="1" applyFont="1" applyBorder="1" applyAlignment="1">
      <alignment horizontal="right" vertical="center"/>
    </xf>
    <xf numFmtId="9" fontId="66" fillId="3" borderId="3" xfId="4" applyNumberFormat="1" applyFont="1" applyFill="1" applyBorder="1" applyAlignment="1">
      <alignment horizontal="right" vertical="center" wrapText="1"/>
    </xf>
    <xf numFmtId="9" fontId="66" fillId="3" borderId="8" xfId="4" applyNumberFormat="1" applyFont="1" applyFill="1" applyBorder="1" applyAlignment="1">
      <alignment horizontal="right" vertical="center" wrapText="1"/>
    </xf>
    <xf numFmtId="41" fontId="30" fillId="0" borderId="34" xfId="0" applyNumberFormat="1" applyFont="1" applyBorder="1" applyAlignment="1">
      <alignment horizontal="center" vertical="center" wrapText="1"/>
    </xf>
    <xf numFmtId="9" fontId="66" fillId="3" borderId="68" xfId="4" applyNumberFormat="1" applyFont="1" applyFill="1" applyBorder="1" applyAlignment="1">
      <alignment horizontal="right" vertical="center" wrapText="1"/>
    </xf>
    <xf numFmtId="9" fontId="68" fillId="0" borderId="38" xfId="4" applyNumberFormat="1" applyFont="1" applyBorder="1" applyAlignment="1">
      <alignment horizontal="right" vertical="center" wrapText="1"/>
    </xf>
    <xf numFmtId="9" fontId="66" fillId="3" borderId="38" xfId="4" applyNumberFormat="1" applyFont="1" applyFill="1" applyBorder="1" applyAlignment="1">
      <alignment horizontal="right" vertical="center" wrapText="1"/>
    </xf>
    <xf numFmtId="9" fontId="66" fillId="4" borderId="34" xfId="4" applyNumberFormat="1" applyFont="1" applyFill="1" applyBorder="1" applyAlignment="1">
      <alignment horizontal="right" vertical="center" wrapText="1"/>
    </xf>
    <xf numFmtId="9" fontId="66" fillId="9" borderId="81" xfId="4" applyNumberFormat="1" applyFont="1" applyFill="1" applyBorder="1" applyAlignment="1">
      <alignment horizontal="right" vertical="center" wrapText="1"/>
    </xf>
    <xf numFmtId="41" fontId="55" fillId="0" borderId="18" xfId="0" applyNumberFormat="1" applyFont="1" applyFill="1" applyBorder="1" applyAlignment="1" applyProtection="1">
      <alignment horizontal="right" vertical="center"/>
      <protection locked="0"/>
    </xf>
    <xf numFmtId="41" fontId="55" fillId="0" borderId="32" xfId="0" applyNumberFormat="1" applyFont="1" applyFill="1" applyBorder="1" applyAlignment="1" applyProtection="1">
      <alignment horizontal="right" vertical="center"/>
      <protection locked="0"/>
    </xf>
    <xf numFmtId="0" fontId="56" fillId="0" borderId="99" xfId="0" applyFont="1" applyBorder="1" applyAlignment="1">
      <alignment vertical="center"/>
    </xf>
    <xf numFmtId="41" fontId="55" fillId="0" borderId="9" xfId="0" applyNumberFormat="1" applyFont="1" applyBorder="1" applyAlignment="1">
      <alignment vertical="center"/>
    </xf>
    <xf numFmtId="41" fontId="55" fillId="0" borderId="16" xfId="0" applyNumberFormat="1" applyFont="1" applyBorder="1" applyAlignment="1">
      <alignment vertical="center"/>
    </xf>
    <xf numFmtId="41" fontId="56" fillId="0" borderId="10" xfId="0" applyNumberFormat="1" applyFont="1" applyBorder="1" applyAlignment="1">
      <alignment vertical="center"/>
    </xf>
    <xf numFmtId="0" fontId="56" fillId="0" borderId="0" xfId="0" applyFont="1" applyAlignment="1">
      <alignment vertical="center"/>
    </xf>
    <xf numFmtId="41" fontId="56" fillId="0" borderId="47" xfId="0" applyNumberFormat="1" applyFont="1" applyBorder="1" applyAlignment="1">
      <alignment vertical="center"/>
    </xf>
    <xf numFmtId="41" fontId="56" fillId="0" borderId="13" xfId="0" applyNumberFormat="1" applyFont="1" applyBorder="1" applyAlignment="1">
      <alignment vertical="center"/>
    </xf>
    <xf numFmtId="41" fontId="56" fillId="0" borderId="18" xfId="0" applyNumberFormat="1" applyFont="1" applyBorder="1" applyAlignment="1">
      <alignment vertical="center"/>
    </xf>
    <xf numFmtId="41" fontId="56" fillId="0" borderId="12" xfId="0" applyNumberFormat="1" applyFont="1" applyBorder="1" applyAlignment="1">
      <alignment vertical="center"/>
    </xf>
    <xf numFmtId="41" fontId="56" fillId="0" borderId="7" xfId="0" applyNumberFormat="1" applyFont="1" applyBorder="1" applyAlignment="1">
      <alignment vertical="center"/>
    </xf>
    <xf numFmtId="0" fontId="55" fillId="0" borderId="28" xfId="0" applyNumberFormat="1" applyFont="1" applyBorder="1" applyAlignment="1">
      <alignment vertical="center"/>
    </xf>
    <xf numFmtId="0" fontId="55" fillId="0" borderId="46" xfId="0" applyNumberFormat="1" applyFont="1" applyBorder="1" applyAlignment="1">
      <alignment vertical="center"/>
    </xf>
    <xf numFmtId="41" fontId="66" fillId="0" borderId="16" xfId="0" applyNumberFormat="1" applyFont="1" applyFill="1" applyBorder="1" applyAlignment="1">
      <alignment horizontal="center" vertical="center" wrapText="1"/>
    </xf>
    <xf numFmtId="41" fontId="66" fillId="0" borderId="72" xfId="1" applyNumberFormat="1" applyFont="1" applyFill="1" applyBorder="1" applyAlignment="1">
      <alignment horizontal="right" vertical="center" wrapText="1" indent="1"/>
    </xf>
    <xf numFmtId="41" fontId="66" fillId="0" borderId="25" xfId="1" applyNumberFormat="1" applyFont="1" applyFill="1" applyBorder="1" applyAlignment="1">
      <alignment horizontal="right" vertical="center" wrapText="1" indent="1"/>
    </xf>
    <xf numFmtId="41" fontId="68" fillId="0" borderId="72" xfId="1" applyNumberFormat="1" applyFont="1" applyFill="1" applyBorder="1" applyAlignment="1">
      <alignment horizontal="right" vertical="center" wrapText="1" indent="1"/>
    </xf>
    <xf numFmtId="41" fontId="71" fillId="0" borderId="0" xfId="0" applyNumberFormat="1" applyFont="1" applyAlignment="1">
      <alignment vertical="center"/>
    </xf>
    <xf numFmtId="41" fontId="68" fillId="25" borderId="72" xfId="0" applyNumberFormat="1" applyFont="1" applyFill="1" applyBorder="1" applyAlignment="1">
      <alignment horizontal="right" vertical="center" wrapText="1" indent="1"/>
    </xf>
    <xf numFmtId="41" fontId="66" fillId="25" borderId="72" xfId="0" applyNumberFormat="1" applyFont="1" applyFill="1" applyBorder="1" applyAlignment="1">
      <alignment horizontal="right" vertical="center" wrapText="1" indent="1"/>
    </xf>
    <xf numFmtId="41" fontId="24" fillId="25" borderId="72" xfId="0" applyNumberFormat="1" applyFont="1" applyFill="1" applyBorder="1" applyAlignment="1">
      <alignment horizontal="right" vertical="center" wrapText="1" indent="1"/>
    </xf>
    <xf numFmtId="41" fontId="68" fillId="25" borderId="98" xfId="0" applyNumberFormat="1" applyFont="1" applyFill="1" applyBorder="1" applyAlignment="1">
      <alignment horizontal="right" vertical="center" wrapText="1" indent="1"/>
    </xf>
    <xf numFmtId="171" fontId="68" fillId="0" borderId="72" xfId="0" applyNumberFormat="1" applyFont="1" applyBorder="1" applyAlignment="1">
      <alignment horizontal="right" vertical="center" wrapText="1" indent="1"/>
    </xf>
    <xf numFmtId="41" fontId="96" fillId="25" borderId="25" xfId="0" applyNumberFormat="1" applyFont="1" applyFill="1" applyBorder="1" applyAlignment="1">
      <alignment horizontal="right" vertical="center" wrapText="1"/>
    </xf>
    <xf numFmtId="41" fontId="93" fillId="25" borderId="25" xfId="0" applyNumberFormat="1" applyFont="1" applyFill="1" applyBorder="1" applyAlignment="1">
      <alignment horizontal="right" vertical="center" wrapText="1"/>
    </xf>
    <xf numFmtId="41" fontId="93" fillId="0" borderId="7" xfId="0" applyNumberFormat="1" applyFont="1" applyBorder="1" applyAlignment="1">
      <alignment horizontal="right" vertical="center" wrapText="1"/>
    </xf>
    <xf numFmtId="171" fontId="112" fillId="0" borderId="25" xfId="6" applyNumberFormat="1" applyFont="1" applyBorder="1" applyAlignment="1">
      <alignment horizontal="right" vertical="center" wrapText="1"/>
    </xf>
    <xf numFmtId="171" fontId="114" fillId="25" borderId="25" xfId="6" applyNumberFormat="1" applyFont="1" applyFill="1" applyBorder="1" applyAlignment="1">
      <alignment horizontal="right" vertical="center" wrapText="1"/>
    </xf>
    <xf numFmtId="171" fontId="114" fillId="0" borderId="25" xfId="6" applyNumberFormat="1" applyFont="1" applyBorder="1" applyAlignment="1">
      <alignment horizontal="right" vertical="center" wrapText="1"/>
    </xf>
    <xf numFmtId="171" fontId="114" fillId="0" borderId="32" xfId="6" applyNumberFormat="1" applyFont="1" applyBorder="1" applyAlignment="1">
      <alignment horizontal="right" vertical="center" wrapText="1"/>
    </xf>
    <xf numFmtId="171" fontId="85" fillId="0" borderId="9" xfId="1" applyNumberFormat="1" applyFont="1" applyBorder="1" applyAlignment="1">
      <alignment horizontal="right" vertical="center" wrapText="1"/>
    </xf>
    <xf numFmtId="41" fontId="66" fillId="25" borderId="74" xfId="0" applyNumberFormat="1" applyFont="1" applyFill="1" applyBorder="1" applyAlignment="1">
      <alignment horizontal="right" vertical="center" wrapText="1" indent="1"/>
    </xf>
    <xf numFmtId="41" fontId="66" fillId="25" borderId="75" xfId="0" applyNumberFormat="1" applyFont="1" applyFill="1" applyBorder="1" applyAlignment="1">
      <alignment horizontal="right" vertical="center" wrapText="1" indent="1"/>
    </xf>
    <xf numFmtId="41" fontId="22" fillId="0" borderId="0" xfId="0" applyNumberFormat="1" applyFont="1"/>
    <xf numFmtId="41" fontId="55" fillId="25" borderId="2" xfId="1" applyNumberFormat="1" applyFont="1" applyFill="1" applyBorder="1" applyAlignment="1">
      <alignment horizontal="right" vertical="center" indent="1"/>
    </xf>
    <xf numFmtId="9" fontId="104" fillId="25" borderId="9" xfId="0" applyNumberFormat="1" applyFont="1" applyFill="1" applyBorder="1" applyAlignment="1">
      <alignment horizontal="right" vertical="center" wrapText="1" indent="1"/>
    </xf>
    <xf numFmtId="41" fontId="86" fillId="25" borderId="9" xfId="1" applyNumberFormat="1" applyFont="1" applyFill="1" applyBorder="1" applyAlignment="1">
      <alignment horizontal="right" vertical="center" wrapText="1" indent="1"/>
    </xf>
    <xf numFmtId="41" fontId="76" fillId="0" borderId="0" xfId="0" applyNumberFormat="1" applyFont="1" applyAlignment="1">
      <alignment vertical="center"/>
    </xf>
    <xf numFmtId="41" fontId="25" fillId="0" borderId="0" xfId="0" applyNumberFormat="1" applyFont="1"/>
    <xf numFmtId="0" fontId="138" fillId="0" borderId="0" xfId="0" applyFont="1" applyAlignment="1">
      <alignment vertical="justify"/>
    </xf>
    <xf numFmtId="0" fontId="138" fillId="0" borderId="0" xfId="0" applyFont="1"/>
    <xf numFmtId="3" fontId="138" fillId="0" borderId="0" xfId="0" applyNumberFormat="1" applyFont="1" applyAlignment="1">
      <alignment horizontal="center"/>
    </xf>
    <xf numFmtId="0" fontId="139" fillId="0" borderId="0" xfId="0" applyFont="1" applyAlignment="1">
      <alignment horizontal="left"/>
    </xf>
    <xf numFmtId="3" fontId="139" fillId="0" borderId="0" xfId="0" applyNumberFormat="1" applyFont="1" applyAlignment="1">
      <alignment horizontal="left"/>
    </xf>
    <xf numFmtId="0" fontId="140" fillId="0" borderId="0" xfId="0" applyFont="1"/>
    <xf numFmtId="3" fontId="140" fillId="0" borderId="0" xfId="0" applyNumberFormat="1" applyFont="1" applyAlignment="1">
      <alignment horizontal="center"/>
    </xf>
    <xf numFmtId="0" fontId="139" fillId="0" borderId="102" xfId="0" applyFont="1" applyBorder="1" applyAlignment="1">
      <alignment horizontal="left" vertical="center"/>
    </xf>
    <xf numFmtId="0" fontId="139" fillId="0" borderId="103" xfId="0" applyFont="1" applyBorder="1" applyAlignment="1">
      <alignment horizontal="left" vertical="center"/>
    </xf>
    <xf numFmtId="0" fontId="139" fillId="0" borderId="104" xfId="0" applyFont="1" applyBorder="1" applyAlignment="1">
      <alignment horizontal="center" vertical="center" wrapText="1"/>
    </xf>
    <xf numFmtId="0" fontId="139" fillId="0" borderId="68" xfId="0" applyFont="1" applyBorder="1" applyAlignment="1">
      <alignment horizontal="center" wrapText="1"/>
    </xf>
    <xf numFmtId="0" fontId="138" fillId="0" borderId="0" xfId="0" applyFont="1" applyAlignment="1">
      <alignment wrapText="1"/>
    </xf>
    <xf numFmtId="0" fontId="138" fillId="0" borderId="105" xfId="0" applyFont="1" applyBorder="1" applyAlignment="1">
      <alignment horizontal="center" vertical="center"/>
    </xf>
    <xf numFmtId="0" fontId="138" fillId="0" borderId="106" xfId="0" applyFont="1" applyBorder="1" applyAlignment="1">
      <alignment vertical="center" wrapText="1"/>
    </xf>
    <xf numFmtId="171" fontId="138" fillId="0" borderId="107" xfId="0" applyNumberFormat="1" applyFont="1" applyBorder="1" applyAlignment="1">
      <alignment horizontal="right" vertical="center" indent="1"/>
    </xf>
    <xf numFmtId="3" fontId="138" fillId="0" borderId="38" xfId="0" applyNumberFormat="1" applyFont="1" applyBorder="1" applyAlignment="1">
      <alignment horizontal="right" vertical="center" indent="1"/>
    </xf>
    <xf numFmtId="0" fontId="138" fillId="0" borderId="106" xfId="0" applyFont="1" applyBorder="1" applyAlignment="1">
      <alignment vertical="center"/>
    </xf>
    <xf numFmtId="0" fontId="138" fillId="0" borderId="108" xfId="0" applyFont="1" applyBorder="1" applyAlignment="1">
      <alignment horizontal="center" vertical="center"/>
    </xf>
    <xf numFmtId="0" fontId="138" fillId="0" borderId="109" xfId="0" applyFont="1" applyBorder="1" applyAlignment="1">
      <alignment vertical="center"/>
    </xf>
    <xf numFmtId="171" fontId="138" fillId="0" borderId="110" xfId="0" applyNumberFormat="1" applyFont="1" applyBorder="1" applyAlignment="1">
      <alignment horizontal="right" vertical="center" indent="1"/>
    </xf>
    <xf numFmtId="3" fontId="138" fillId="0" borderId="111" xfId="0" applyNumberFormat="1" applyFont="1" applyBorder="1" applyAlignment="1">
      <alignment horizontal="right" vertical="center" indent="1"/>
    </xf>
    <xf numFmtId="171" fontId="139" fillId="9" borderId="113" xfId="0" applyNumberFormat="1" applyFont="1" applyFill="1" applyBorder="1" applyAlignment="1">
      <alignment horizontal="right" vertical="center" indent="1"/>
    </xf>
    <xf numFmtId="3" fontId="139" fillId="9" borderId="34" xfId="0" applyNumberFormat="1" applyFont="1" applyFill="1" applyBorder="1" applyAlignment="1">
      <alignment horizontal="right" vertical="center" indent="1"/>
    </xf>
    <xf numFmtId="0" fontId="139" fillId="0" borderId="0" xfId="0" applyFont="1" applyBorder="1" applyAlignment="1">
      <alignment vertical="center"/>
    </xf>
    <xf numFmtId="0" fontId="138" fillId="0" borderId="0" xfId="0" applyFont="1" applyBorder="1" applyAlignment="1">
      <alignment vertical="center"/>
    </xf>
    <xf numFmtId="3" fontId="138" fillId="0" borderId="0" xfId="0" applyNumberFormat="1" applyFont="1" applyBorder="1" applyAlignment="1">
      <alignment horizontal="right" vertical="center"/>
    </xf>
    <xf numFmtId="0" fontId="139" fillId="0" borderId="36" xfId="0" applyFont="1" applyBorder="1" applyAlignment="1">
      <alignment horizontal="left" vertical="center"/>
    </xf>
    <xf numFmtId="0" fontId="139" fillId="0" borderId="37" xfId="0" applyFont="1" applyBorder="1" applyAlignment="1">
      <alignment horizontal="left" vertical="center"/>
    </xf>
    <xf numFmtId="0" fontId="139" fillId="0" borderId="37" xfId="0" applyFont="1" applyBorder="1" applyAlignment="1">
      <alignment horizontal="center" vertical="center" wrapText="1"/>
    </xf>
    <xf numFmtId="0" fontId="139" fillId="0" borderId="39" xfId="0" applyFont="1" applyBorder="1" applyAlignment="1">
      <alignment horizontal="center" vertical="center" wrapText="1"/>
    </xf>
    <xf numFmtId="0" fontId="138" fillId="0" borderId="114" xfId="0" applyFont="1" applyBorder="1" applyAlignment="1">
      <alignment horizontal="center" vertical="center"/>
    </xf>
    <xf numFmtId="3" fontId="139" fillId="9" borderId="113" xfId="0" applyNumberFormat="1" applyFont="1" applyFill="1" applyBorder="1" applyAlignment="1">
      <alignment horizontal="right" vertical="center" indent="1"/>
    </xf>
    <xf numFmtId="0" fontId="138" fillId="0" borderId="0" xfId="0" applyFont="1" applyAlignment="1">
      <alignment vertical="center"/>
    </xf>
    <xf numFmtId="3" fontId="138" fillId="0" borderId="0" xfId="0" applyNumberFormat="1" applyFont="1"/>
    <xf numFmtId="41" fontId="66" fillId="0" borderId="32" xfId="1" applyNumberFormat="1" applyFont="1" applyFill="1" applyBorder="1" applyAlignment="1">
      <alignment horizontal="right" vertical="center" wrapText="1" indent="1"/>
    </xf>
    <xf numFmtId="41" fontId="65" fillId="25" borderId="32" xfId="1" applyNumberFormat="1" applyFont="1" applyFill="1" applyBorder="1" applyAlignment="1">
      <alignment horizontal="right" vertical="center" indent="1"/>
    </xf>
    <xf numFmtId="41" fontId="87" fillId="9" borderId="9" xfId="4" applyNumberFormat="1" applyFont="1" applyFill="1" applyBorder="1" applyAlignment="1">
      <alignment horizontal="right" vertical="center" wrapText="1"/>
    </xf>
    <xf numFmtId="41" fontId="89" fillId="0" borderId="9" xfId="4" applyNumberFormat="1" applyFont="1" applyFill="1" applyBorder="1" applyAlignment="1" applyProtection="1">
      <alignment horizontal="right" vertical="center" wrapText="1"/>
    </xf>
    <xf numFmtId="41" fontId="87" fillId="0" borderId="20" xfId="4" applyNumberFormat="1" applyFont="1" applyFill="1" applyBorder="1" applyAlignment="1" applyProtection="1">
      <alignment horizontal="right" vertical="center" wrapText="1"/>
    </xf>
    <xf numFmtId="41" fontId="87" fillId="0" borderId="75" xfId="4" applyNumberFormat="1" applyFont="1" applyFill="1" applyBorder="1" applyAlignment="1" applyProtection="1">
      <alignment horizontal="right" vertical="center" wrapText="1"/>
    </xf>
    <xf numFmtId="0" fontId="87" fillId="9" borderId="33" xfId="4" applyFont="1" applyFill="1" applyBorder="1" applyAlignment="1">
      <alignment horizontal="left" vertical="center" wrapText="1" indent="1"/>
    </xf>
    <xf numFmtId="41" fontId="85" fillId="0" borderId="0" xfId="6" applyNumberFormat="1" applyFont="1" applyAlignment="1">
      <alignment vertical="center"/>
    </xf>
    <xf numFmtId="41" fontId="67" fillId="0" borderId="0" xfId="0" applyNumberFormat="1" applyFont="1"/>
    <xf numFmtId="41" fontId="93" fillId="25" borderId="9" xfId="0" applyNumberFormat="1" applyFont="1" applyFill="1" applyBorder="1" applyAlignment="1">
      <alignment horizontal="right" vertical="center" wrapText="1"/>
    </xf>
    <xf numFmtId="41" fontId="86" fillId="29" borderId="25" xfId="0" applyNumberFormat="1" applyFont="1" applyFill="1" applyBorder="1" applyAlignment="1">
      <alignment horizontal="right" vertical="center" wrapText="1"/>
    </xf>
    <xf numFmtId="41" fontId="86" fillId="25" borderId="7" xfId="1" applyNumberFormat="1" applyFont="1" applyFill="1" applyBorder="1" applyAlignment="1">
      <alignment horizontal="right" vertical="center" wrapText="1" indent="1"/>
    </xf>
    <xf numFmtId="41" fontId="127" fillId="25" borderId="9" xfId="0" applyNumberFormat="1" applyFont="1" applyFill="1" applyBorder="1" applyAlignment="1">
      <alignment horizontal="right" vertical="center" wrapText="1" indent="1"/>
    </xf>
    <xf numFmtId="41" fontId="104" fillId="25" borderId="7" xfId="0" applyNumberFormat="1" applyFont="1" applyFill="1" applyBorder="1" applyAlignment="1" applyProtection="1">
      <alignment horizontal="right" vertical="center" wrapText="1" indent="1"/>
      <protection locked="0"/>
    </xf>
    <xf numFmtId="41" fontId="104" fillId="25" borderId="9" xfId="0" applyNumberFormat="1" applyFont="1" applyFill="1" applyBorder="1" applyAlignment="1">
      <alignment horizontal="right" vertical="center" wrapText="1" indent="1"/>
    </xf>
    <xf numFmtId="0" fontId="55" fillId="0" borderId="9" xfId="0" applyFont="1" applyBorder="1" applyAlignment="1">
      <alignment horizontal="center" vertical="center"/>
    </xf>
    <xf numFmtId="41" fontId="86" fillId="25" borderId="9" xfId="0" applyNumberFormat="1" applyFont="1" applyFill="1" applyBorder="1" applyAlignment="1">
      <alignment horizontal="right" vertical="center" wrapText="1"/>
    </xf>
    <xf numFmtId="9" fontId="56" fillId="0" borderId="19" xfId="0" applyNumberFormat="1" applyFont="1" applyBorder="1" applyAlignment="1">
      <alignment vertical="center"/>
    </xf>
    <xf numFmtId="9" fontId="30" fillId="9" borderId="39" xfId="0" applyNumberFormat="1" applyFont="1" applyFill="1" applyBorder="1" applyAlignment="1">
      <alignment vertical="center"/>
    </xf>
    <xf numFmtId="41" fontId="55" fillId="0" borderId="9" xfId="0" applyNumberFormat="1" applyFont="1" applyFill="1" applyBorder="1" applyAlignment="1" applyProtection="1">
      <alignment horizontal="center" vertical="center"/>
      <protection locked="0"/>
    </xf>
    <xf numFmtId="0" fontId="55" fillId="0" borderId="16" xfId="0" applyFont="1" applyBorder="1" applyAlignment="1">
      <alignment horizontal="center" vertical="center"/>
    </xf>
    <xf numFmtId="0" fontId="55" fillId="0" borderId="7" xfId="0" applyFont="1" applyBorder="1" applyAlignment="1">
      <alignment horizontal="center" vertical="center"/>
    </xf>
    <xf numFmtId="0" fontId="56" fillId="0" borderId="10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/>
    </xf>
    <xf numFmtId="0" fontId="56" fillId="0" borderId="7" xfId="0" applyFont="1" applyBorder="1" applyAlignment="1">
      <alignment horizontal="center" vertical="center"/>
    </xf>
    <xf numFmtId="3" fontId="56" fillId="0" borderId="12" xfId="0" applyNumberFormat="1" applyFont="1" applyBorder="1" applyAlignment="1">
      <alignment horizontal="center" vertical="center"/>
    </xf>
    <xf numFmtId="3" fontId="56" fillId="0" borderId="10" xfId="0" applyNumberFormat="1" applyFont="1" applyBorder="1" applyAlignment="1">
      <alignment horizontal="center" vertical="center"/>
    </xf>
    <xf numFmtId="41" fontId="86" fillId="25" borderId="7" xfId="0" applyNumberFormat="1" applyFont="1" applyFill="1" applyBorder="1" applyAlignment="1">
      <alignment horizontal="right" vertical="center" wrapText="1" indent="1"/>
    </xf>
    <xf numFmtId="41" fontId="104" fillId="25" borderId="72" xfId="0" applyNumberFormat="1" applyFont="1" applyFill="1" applyBorder="1" applyAlignment="1" applyProtection="1">
      <alignment horizontal="right" vertical="center" wrapText="1" indent="1"/>
      <protection locked="0"/>
    </xf>
    <xf numFmtId="41" fontId="104" fillId="25" borderId="9" xfId="0" applyNumberFormat="1" applyFont="1" applyFill="1" applyBorder="1" applyAlignment="1" applyProtection="1">
      <alignment horizontal="right" vertical="center" wrapText="1" indent="1"/>
      <protection locked="0"/>
    </xf>
    <xf numFmtId="41" fontId="86" fillId="25" borderId="7" xfId="0" applyNumberFormat="1" applyFont="1" applyFill="1" applyBorder="1" applyAlignment="1">
      <alignment horizontal="right" vertical="center" indent="1"/>
    </xf>
    <xf numFmtId="41" fontId="108" fillId="0" borderId="72" xfId="6" applyNumberFormat="1" applyFont="1" applyBorder="1" applyAlignment="1">
      <alignment horizontal="right" vertical="center" wrapText="1"/>
    </xf>
    <xf numFmtId="41" fontId="108" fillId="0" borderId="25" xfId="6" applyNumberFormat="1" applyFont="1" applyBorder="1" applyAlignment="1">
      <alignment horizontal="right" vertical="center" wrapText="1"/>
    </xf>
    <xf numFmtId="41" fontId="114" fillId="25" borderId="25" xfId="6" applyNumberFormat="1" applyFont="1" applyFill="1" applyBorder="1" applyAlignment="1">
      <alignment horizontal="right" vertical="center" wrapText="1"/>
    </xf>
    <xf numFmtId="0" fontId="10" fillId="6" borderId="72" xfId="0" applyFont="1" applyFill="1" applyBorder="1"/>
    <xf numFmtId="0" fontId="10" fillId="6" borderId="25" xfId="0" applyFont="1" applyFill="1" applyBorder="1"/>
    <xf numFmtId="171" fontId="138" fillId="0" borderId="107" xfId="0" applyNumberFormat="1" applyFont="1" applyBorder="1" applyAlignment="1">
      <alignment horizontal="right" vertical="center" indent="1"/>
    </xf>
    <xf numFmtId="3" fontId="138" fillId="0" borderId="38" xfId="0" applyNumberFormat="1" applyFont="1" applyBorder="1" applyAlignment="1">
      <alignment horizontal="right" vertical="center" indent="1"/>
    </xf>
    <xf numFmtId="171" fontId="138" fillId="0" borderId="110" xfId="0" applyNumberFormat="1" applyFont="1" applyBorder="1" applyAlignment="1">
      <alignment horizontal="right" vertical="center" indent="1"/>
    </xf>
    <xf numFmtId="3" fontId="138" fillId="0" borderId="111" xfId="0" applyNumberFormat="1" applyFont="1" applyBorder="1" applyAlignment="1">
      <alignment horizontal="right" vertical="center" indent="1"/>
    </xf>
    <xf numFmtId="0" fontId="138" fillId="0" borderId="107" xfId="0" applyFont="1" applyBorder="1" applyAlignment="1">
      <alignment vertical="center" wrapText="1"/>
    </xf>
    <xf numFmtId="0" fontId="138" fillId="0" borderId="107" xfId="0" applyFont="1" applyBorder="1" applyAlignment="1">
      <alignment vertical="center"/>
    </xf>
    <xf numFmtId="0" fontId="138" fillId="0" borderId="110" xfId="0" applyFont="1" applyBorder="1" applyAlignment="1">
      <alignment vertical="center"/>
    </xf>
    <xf numFmtId="0" fontId="138" fillId="0" borderId="115" xfId="0" applyFont="1" applyBorder="1" applyAlignment="1">
      <alignment vertical="center"/>
    </xf>
    <xf numFmtId="41" fontId="117" fillId="25" borderId="25" xfId="6" applyNumberFormat="1" applyFont="1" applyFill="1" applyBorder="1" applyAlignment="1">
      <alignment horizontal="right" vertical="center" wrapText="1"/>
    </xf>
    <xf numFmtId="41" fontId="112" fillId="25" borderId="25" xfId="6" applyNumberFormat="1" applyFont="1" applyFill="1" applyBorder="1" applyAlignment="1">
      <alignment horizontal="right" vertical="center" wrapText="1"/>
    </xf>
    <xf numFmtId="41" fontId="114" fillId="25" borderId="25" xfId="1" applyNumberFormat="1" applyFont="1" applyFill="1" applyBorder="1" applyAlignment="1">
      <alignment horizontal="right" vertical="center" wrapText="1"/>
    </xf>
    <xf numFmtId="41" fontId="116" fillId="25" borderId="25" xfId="6" applyNumberFormat="1" applyFont="1" applyFill="1" applyBorder="1" applyAlignment="1">
      <alignment horizontal="right" vertical="center" wrapText="1"/>
    </xf>
    <xf numFmtId="49" fontId="85" fillId="25" borderId="9" xfId="0" applyNumberFormat="1" applyFont="1" applyFill="1" applyBorder="1" applyAlignment="1">
      <alignment horizontal="left" vertical="center" wrapText="1" indent="1"/>
    </xf>
    <xf numFmtId="41" fontId="86" fillId="25" borderId="27" xfId="0" applyNumberFormat="1" applyFont="1" applyFill="1" applyBorder="1" applyAlignment="1">
      <alignment horizontal="right" vertical="center" wrapText="1"/>
    </xf>
    <xf numFmtId="49" fontId="85" fillId="0" borderId="29" xfId="0" applyNumberFormat="1" applyFont="1" applyBorder="1" applyAlignment="1">
      <alignment horizontal="center" vertical="center"/>
    </xf>
    <xf numFmtId="49" fontId="86" fillId="0" borderId="82" xfId="0" applyNumberFormat="1" applyFont="1" applyBorder="1" applyAlignment="1">
      <alignment horizontal="left" vertical="center" indent="1"/>
    </xf>
    <xf numFmtId="41" fontId="131" fillId="0" borderId="98" xfId="0" applyNumberFormat="1" applyFont="1" applyBorder="1" applyAlignment="1">
      <alignment horizontal="right" vertical="center" wrapText="1"/>
    </xf>
    <xf numFmtId="164" fontId="94" fillId="0" borderId="0" xfId="0" applyNumberFormat="1" applyFont="1" applyFill="1" applyBorder="1" applyAlignment="1">
      <alignment vertical="center"/>
    </xf>
    <xf numFmtId="0" fontId="0" fillId="0" borderId="45" xfId="0" applyBorder="1"/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33" xfId="0" applyBorder="1"/>
    <xf numFmtId="0" fontId="141" fillId="0" borderId="9" xfId="0" applyFont="1" applyBorder="1"/>
    <xf numFmtId="164" fontId="0" fillId="0" borderId="9" xfId="1" applyNumberFormat="1" applyFont="1" applyBorder="1"/>
    <xf numFmtId="164" fontId="0" fillId="0" borderId="3" xfId="1" applyNumberFormat="1" applyFont="1" applyBorder="1"/>
    <xf numFmtId="0" fontId="0" fillId="0" borderId="9" xfId="0" applyBorder="1" applyAlignment="1">
      <alignment wrapText="1"/>
    </xf>
    <xf numFmtId="0" fontId="0" fillId="0" borderId="5" xfId="0" applyBorder="1"/>
    <xf numFmtId="0" fontId="0" fillId="0" borderId="18" xfId="0" applyBorder="1" applyAlignment="1">
      <alignment wrapText="1"/>
    </xf>
    <xf numFmtId="164" fontId="0" fillId="0" borderId="18" xfId="1" applyNumberFormat="1" applyFont="1" applyBorder="1"/>
    <xf numFmtId="164" fontId="0" fillId="0" borderId="46" xfId="1" applyNumberFormat="1" applyFont="1" applyBorder="1"/>
    <xf numFmtId="0" fontId="141" fillId="0" borderId="24" xfId="0" applyFont="1" applyBorder="1"/>
    <xf numFmtId="0" fontId="141" fillId="0" borderId="15" xfId="0" applyFont="1" applyBorder="1" applyAlignment="1">
      <alignment wrapText="1"/>
    </xf>
    <xf numFmtId="164" fontId="141" fillId="0" borderId="15" xfId="1" applyNumberFormat="1" applyFont="1" applyBorder="1"/>
    <xf numFmtId="164" fontId="141" fillId="0" borderId="22" xfId="1" applyNumberFormat="1" applyFont="1" applyBorder="1"/>
    <xf numFmtId="0" fontId="0" fillId="0" borderId="1" xfId="0" applyBorder="1"/>
    <xf numFmtId="0" fontId="0" fillId="0" borderId="7" xfId="0" applyBorder="1" applyAlignment="1">
      <alignment wrapText="1"/>
    </xf>
    <xf numFmtId="164" fontId="0" fillId="0" borderId="7" xfId="1" applyNumberFormat="1" applyFont="1" applyBorder="1"/>
    <xf numFmtId="164" fontId="0" fillId="0" borderId="8" xfId="1" applyNumberFormat="1" applyFont="1" applyBorder="1"/>
    <xf numFmtId="0" fontId="141" fillId="0" borderId="51" xfId="0" applyFont="1" applyBorder="1"/>
    <xf numFmtId="0" fontId="141" fillId="0" borderId="52" xfId="0" applyFont="1" applyBorder="1" applyAlignment="1">
      <alignment wrapText="1"/>
    </xf>
    <xf numFmtId="164" fontId="141" fillId="0" borderId="52" xfId="1" applyNumberFormat="1" applyFont="1" applyBorder="1"/>
    <xf numFmtId="164" fontId="141" fillId="0" borderId="80" xfId="1" applyNumberFormat="1" applyFont="1" applyBorder="1"/>
    <xf numFmtId="0" fontId="141" fillId="0" borderId="33" xfId="0" applyFont="1" applyBorder="1"/>
    <xf numFmtId="0" fontId="141" fillId="0" borderId="9" xfId="0" applyFont="1" applyBorder="1" applyAlignment="1">
      <alignment wrapText="1"/>
    </xf>
    <xf numFmtId="164" fontId="141" fillId="0" borderId="9" xfId="1" applyNumberFormat="1" applyFont="1" applyBorder="1"/>
    <xf numFmtId="164" fontId="141" fillId="0" borderId="3" xfId="1" applyNumberFormat="1" applyFont="1" applyBorder="1"/>
    <xf numFmtId="49" fontId="15" fillId="0" borderId="9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49" fontId="17" fillId="0" borderId="18" xfId="0" applyNumberFormat="1" applyFont="1" applyBorder="1" applyAlignment="1">
      <alignment horizontal="center" vertical="center"/>
    </xf>
    <xf numFmtId="0" fontId="62" fillId="0" borderId="47" xfId="0" applyFont="1" applyBorder="1" applyAlignment="1">
      <alignment horizontal="center" vertical="center"/>
    </xf>
    <xf numFmtId="0" fontId="62" fillId="0" borderId="7" xfId="0" applyFont="1" applyBorder="1" applyAlignment="1">
      <alignment horizontal="center" vertical="center"/>
    </xf>
    <xf numFmtId="0" fontId="61" fillId="0" borderId="42" xfId="0" applyFont="1" applyBorder="1" applyAlignment="1">
      <alignment horizontal="center" vertical="center"/>
    </xf>
    <xf numFmtId="3" fontId="74" fillId="0" borderId="0" xfId="4" applyNumberFormat="1" applyFont="1" applyBorder="1" applyAlignment="1">
      <alignment horizontal="center" vertical="center"/>
    </xf>
    <xf numFmtId="3" fontId="52" fillId="0" borderId="0" xfId="4" applyNumberFormat="1" applyFont="1" applyBorder="1" applyAlignment="1">
      <alignment horizontal="center" vertical="center"/>
    </xf>
    <xf numFmtId="3" fontId="100" fillId="0" borderId="0" xfId="4" applyNumberFormat="1" applyFont="1" applyBorder="1" applyAlignment="1">
      <alignment horizontal="center" vertical="center" wrapText="1"/>
    </xf>
    <xf numFmtId="3" fontId="100" fillId="0" borderId="0" xfId="4" applyNumberFormat="1" applyFont="1" applyBorder="1" applyAlignment="1">
      <alignment horizontal="center" vertical="center"/>
    </xf>
    <xf numFmtId="0" fontId="21" fillId="9" borderId="14" xfId="0" applyFont="1" applyFill="1" applyBorder="1" applyAlignment="1">
      <alignment horizontal="left" vertical="center" wrapText="1"/>
    </xf>
    <xf numFmtId="0" fontId="21" fillId="9" borderId="6" xfId="0" applyFont="1" applyFill="1" applyBorder="1" applyAlignment="1">
      <alignment horizontal="left" vertical="center" wrapText="1"/>
    </xf>
    <xf numFmtId="0" fontId="51" fillId="0" borderId="30" xfId="0" applyFont="1" applyBorder="1" applyAlignment="1">
      <alignment horizontal="center" vertical="center" wrapText="1"/>
    </xf>
    <xf numFmtId="0" fontId="23" fillId="0" borderId="72" xfId="0" applyFont="1" applyFill="1" applyBorder="1" applyAlignment="1">
      <alignment horizontal="left" vertical="center" wrapText="1"/>
    </xf>
    <xf numFmtId="0" fontId="62" fillId="0" borderId="42" xfId="0" applyFont="1" applyFill="1" applyBorder="1" applyAlignment="1">
      <alignment vertical="center"/>
    </xf>
    <xf numFmtId="0" fontId="62" fillId="0" borderId="68" xfId="0" applyFont="1" applyFill="1" applyBorder="1" applyAlignment="1">
      <alignment vertical="center"/>
    </xf>
    <xf numFmtId="0" fontId="23" fillId="0" borderId="71" xfId="0" applyFont="1" applyFill="1" applyBorder="1" applyAlignment="1">
      <alignment horizontal="left" vertical="center" wrapText="1"/>
    </xf>
    <xf numFmtId="0" fontId="62" fillId="0" borderId="50" xfId="0" applyFont="1" applyFill="1" applyBorder="1" applyAlignment="1">
      <alignment vertical="center"/>
    </xf>
    <xf numFmtId="0" fontId="62" fillId="0" borderId="39" xfId="0" applyFont="1" applyFill="1" applyBorder="1" applyAlignment="1">
      <alignment vertical="center"/>
    </xf>
    <xf numFmtId="0" fontId="62" fillId="0" borderId="50" xfId="0" applyFont="1" applyFill="1" applyBorder="1" applyAlignment="1"/>
    <xf numFmtId="0" fontId="62" fillId="0" borderId="39" xfId="0" applyFont="1" applyFill="1" applyBorder="1" applyAlignment="1"/>
    <xf numFmtId="0" fontId="4" fillId="9" borderId="79" xfId="0" applyFont="1" applyFill="1" applyBorder="1" applyAlignment="1">
      <alignment horizontal="left" vertical="center"/>
    </xf>
    <xf numFmtId="0" fontId="2" fillId="9" borderId="79" xfId="0" applyFont="1" applyFill="1" applyBorder="1" applyAlignment="1"/>
    <xf numFmtId="0" fontId="2" fillId="9" borderId="34" xfId="0" applyFont="1" applyFill="1" applyBorder="1" applyAlignment="1"/>
    <xf numFmtId="0" fontId="21" fillId="9" borderId="75" xfId="0" applyFont="1" applyFill="1" applyBorder="1" applyAlignment="1">
      <alignment horizontal="left" vertical="center" wrapText="1"/>
    </xf>
    <xf numFmtId="0" fontId="2" fillId="9" borderId="79" xfId="0" applyFont="1" applyFill="1" applyBorder="1" applyAlignment="1">
      <alignment vertical="center"/>
    </xf>
    <xf numFmtId="0" fontId="2" fillId="9" borderId="34" xfId="0" applyFont="1" applyFill="1" applyBorder="1" applyAlignment="1">
      <alignment vertical="center"/>
    </xf>
    <xf numFmtId="0" fontId="21" fillId="25" borderId="75" xfId="0" applyFont="1" applyFill="1" applyBorder="1" applyAlignment="1">
      <alignment horizontal="left" vertical="center" wrapText="1"/>
    </xf>
    <xf numFmtId="0" fontId="2" fillId="25" borderId="79" xfId="0" applyFont="1" applyFill="1" applyBorder="1" applyAlignment="1">
      <alignment vertical="center"/>
    </xf>
    <xf numFmtId="0" fontId="2" fillId="25" borderId="34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1" fillId="9" borderId="77" xfId="0" applyFont="1" applyFill="1" applyBorder="1" applyAlignment="1">
      <alignment horizontal="left" vertical="center" wrapText="1"/>
    </xf>
    <xf numFmtId="0" fontId="2" fillId="9" borderId="30" xfId="0" applyFont="1" applyFill="1" applyBorder="1" applyAlignment="1">
      <alignment vertical="center"/>
    </xf>
    <xf numFmtId="0" fontId="2" fillId="9" borderId="81" xfId="0" applyFont="1" applyFill="1" applyBorder="1" applyAlignment="1">
      <alignment vertical="center"/>
    </xf>
    <xf numFmtId="0" fontId="21" fillId="9" borderId="79" xfId="0" applyFont="1" applyFill="1" applyBorder="1" applyAlignment="1">
      <alignment horizontal="left" vertical="center" wrapText="1"/>
    </xf>
    <xf numFmtId="0" fontId="21" fillId="9" borderId="34" xfId="0" applyFont="1" applyFill="1" applyBorder="1" applyAlignment="1">
      <alignment horizontal="left" vertical="center" wrapText="1"/>
    </xf>
    <xf numFmtId="0" fontId="21" fillId="9" borderId="75" xfId="0" applyFont="1" applyFill="1" applyBorder="1" applyAlignment="1">
      <alignment horizontal="left" vertical="center"/>
    </xf>
    <xf numFmtId="0" fontId="93" fillId="0" borderId="30" xfId="0" applyFont="1" applyBorder="1" applyAlignment="1">
      <alignment horizontal="center" vertical="center"/>
    </xf>
    <xf numFmtId="0" fontId="67" fillId="9" borderId="24" xfId="0" applyFont="1" applyFill="1" applyBorder="1" applyAlignment="1">
      <alignment horizontal="left" vertical="center"/>
    </xf>
    <xf numFmtId="0" fontId="67" fillId="9" borderId="15" xfId="0" applyFont="1" applyFill="1" applyBorder="1" applyAlignment="1">
      <alignment horizontal="left" vertical="center"/>
    </xf>
    <xf numFmtId="0" fontId="75" fillId="0" borderId="0" xfId="0" applyFont="1" applyBorder="1" applyAlignment="1">
      <alignment horizontal="center" vertical="center"/>
    </xf>
    <xf numFmtId="49" fontId="67" fillId="0" borderId="53" xfId="0" applyNumberFormat="1" applyFont="1" applyBorder="1" applyAlignment="1">
      <alignment horizontal="center" vertical="center"/>
    </xf>
    <xf numFmtId="49" fontId="67" fillId="0" borderId="4" xfId="0" applyNumberFormat="1" applyFont="1" applyBorder="1" applyAlignment="1">
      <alignment horizontal="center" vertical="center"/>
    </xf>
    <xf numFmtId="49" fontId="67" fillId="0" borderId="94" xfId="0" applyNumberFormat="1" applyFont="1" applyBorder="1" applyAlignment="1">
      <alignment horizontal="center" vertical="center"/>
    </xf>
    <xf numFmtId="49" fontId="83" fillId="0" borderId="53" xfId="0" applyNumberFormat="1" applyFont="1" applyBorder="1" applyAlignment="1">
      <alignment horizontal="center" vertical="center"/>
    </xf>
    <xf numFmtId="49" fontId="83" fillId="0" borderId="4" xfId="0" applyNumberFormat="1" applyFont="1" applyBorder="1" applyAlignment="1">
      <alignment horizontal="center" vertical="center"/>
    </xf>
    <xf numFmtId="49" fontId="83" fillId="0" borderId="51" xfId="0" applyNumberFormat="1" applyFont="1" applyBorder="1" applyAlignment="1">
      <alignment horizontal="center" vertical="center"/>
    </xf>
    <xf numFmtId="49" fontId="83" fillId="0" borderId="94" xfId="0" applyNumberFormat="1" applyFont="1" applyBorder="1" applyAlignment="1">
      <alignment horizontal="center" vertical="center"/>
    </xf>
    <xf numFmtId="0" fontId="83" fillId="9" borderId="75" xfId="0" applyFont="1" applyFill="1" applyBorder="1" applyAlignment="1">
      <alignment vertical="center" wrapText="1"/>
    </xf>
    <xf numFmtId="0" fontId="66" fillId="9" borderId="79" xfId="0" applyFont="1" applyFill="1" applyBorder="1" applyAlignment="1">
      <alignment vertical="center"/>
    </xf>
    <xf numFmtId="0" fontId="66" fillId="9" borderId="34" xfId="0" applyFont="1" applyFill="1" applyBorder="1" applyAlignment="1">
      <alignment vertical="center"/>
    </xf>
    <xf numFmtId="3" fontId="101" fillId="9" borderId="14" xfId="0" applyNumberFormat="1" applyFont="1" applyFill="1" applyBorder="1" applyAlignment="1">
      <alignment horizontal="right" vertical="center" indent="1"/>
    </xf>
    <xf numFmtId="3" fontId="101" fillId="9" borderId="79" xfId="0" applyNumberFormat="1" applyFont="1" applyFill="1" applyBorder="1" applyAlignment="1">
      <alignment horizontal="right" vertical="center" indent="1"/>
    </xf>
    <xf numFmtId="0" fontId="66" fillId="9" borderId="79" xfId="0" applyFont="1" applyFill="1" applyBorder="1" applyAlignment="1">
      <alignment horizontal="right" vertical="center" indent="1"/>
    </xf>
    <xf numFmtId="0" fontId="66" fillId="9" borderId="34" xfId="0" applyFont="1" applyFill="1" applyBorder="1" applyAlignment="1">
      <alignment horizontal="right" vertical="center" indent="1"/>
    </xf>
    <xf numFmtId="3" fontId="66" fillId="9" borderId="75" xfId="0" applyNumberFormat="1" applyFont="1" applyFill="1" applyBorder="1" applyAlignment="1">
      <alignment horizontal="right" vertical="center" indent="1"/>
    </xf>
    <xf numFmtId="3" fontId="66" fillId="9" borderId="79" xfId="0" applyNumberFormat="1" applyFont="1" applyFill="1" applyBorder="1" applyAlignment="1">
      <alignment horizontal="right" vertical="center" indent="1"/>
    </xf>
    <xf numFmtId="0" fontId="67" fillId="0" borderId="53" xfId="0" applyFont="1" applyBorder="1" applyAlignment="1">
      <alignment horizontal="center" vertical="center"/>
    </xf>
    <xf numFmtId="0" fontId="67" fillId="0" borderId="4" xfId="0" applyFont="1" applyBorder="1" applyAlignment="1">
      <alignment horizontal="center" vertical="center"/>
    </xf>
    <xf numFmtId="0" fontId="67" fillId="0" borderId="51" xfId="0" applyFont="1" applyBorder="1" applyAlignment="1">
      <alignment horizontal="center" vertical="center"/>
    </xf>
    <xf numFmtId="0" fontId="67" fillId="0" borderId="94" xfId="0" applyFont="1" applyBorder="1" applyAlignment="1">
      <alignment horizontal="center" vertical="center"/>
    </xf>
    <xf numFmtId="0" fontId="66" fillId="9" borderId="14" xfId="0" applyFont="1" applyFill="1" applyBorder="1" applyAlignment="1">
      <alignment horizontal="left" vertical="center" wrapText="1"/>
    </xf>
    <xf numFmtId="0" fontId="66" fillId="9" borderId="34" xfId="0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center" vertical="center"/>
    </xf>
    <xf numFmtId="0" fontId="67" fillId="9" borderId="75" xfId="0" applyFont="1" applyFill="1" applyBorder="1" applyAlignment="1">
      <alignment horizontal="left" vertical="center" wrapText="1"/>
    </xf>
    <xf numFmtId="0" fontId="68" fillId="9" borderId="79" xfId="0" applyFont="1" applyFill="1" applyBorder="1" applyAlignment="1">
      <alignment vertical="center"/>
    </xf>
    <xf numFmtId="0" fontId="68" fillId="9" borderId="34" xfId="0" applyFont="1" applyFill="1" applyBorder="1" applyAlignment="1">
      <alignment vertical="center"/>
    </xf>
    <xf numFmtId="0" fontId="67" fillId="9" borderId="14" xfId="0" applyFont="1" applyFill="1" applyBorder="1" applyAlignment="1">
      <alignment horizontal="left" vertical="center" wrapText="1"/>
    </xf>
    <xf numFmtId="3" fontId="68" fillId="9" borderId="77" xfId="0" applyNumberFormat="1" applyFont="1" applyFill="1" applyBorder="1" applyAlignment="1">
      <alignment horizontal="right" vertical="center" indent="1"/>
    </xf>
    <xf numFmtId="3" fontId="68" fillId="9" borderId="30" xfId="0" applyNumberFormat="1" applyFont="1" applyFill="1" applyBorder="1" applyAlignment="1">
      <alignment horizontal="right" vertical="center" indent="1"/>
    </xf>
    <xf numFmtId="0" fontId="68" fillId="9" borderId="30" xfId="0" applyFont="1" applyFill="1" applyBorder="1" applyAlignment="1">
      <alignment horizontal="right" vertical="center" indent="1"/>
    </xf>
    <xf numFmtId="0" fontId="68" fillId="9" borderId="81" xfId="0" applyFont="1" applyFill="1" applyBorder="1" applyAlignment="1">
      <alignment horizontal="right" vertical="center" indent="1"/>
    </xf>
    <xf numFmtId="0" fontId="67" fillId="9" borderId="14" xfId="0" applyFont="1" applyFill="1" applyBorder="1" applyAlignment="1">
      <alignment horizontal="left" vertical="center"/>
    </xf>
    <xf numFmtId="0" fontId="67" fillId="9" borderId="79" xfId="0" applyFont="1" applyFill="1" applyBorder="1" applyAlignment="1">
      <alignment horizontal="left" vertical="center"/>
    </xf>
    <xf numFmtId="0" fontId="83" fillId="9" borderId="75" xfId="0" applyFont="1" applyFill="1" applyBorder="1" applyAlignment="1">
      <alignment horizontal="left" vertical="center" wrapText="1"/>
    </xf>
    <xf numFmtId="41" fontId="113" fillId="8" borderId="48" xfId="6" applyNumberFormat="1" applyFont="1" applyFill="1" applyBorder="1" applyAlignment="1">
      <alignment horizontal="right" vertical="center"/>
    </xf>
    <xf numFmtId="41" fontId="109" fillId="0" borderId="48" xfId="0" applyNumberFormat="1" applyFont="1" applyBorder="1" applyAlignment="1">
      <alignment horizontal="right" vertical="center"/>
    </xf>
    <xf numFmtId="41" fontId="109" fillId="0" borderId="38" xfId="0" applyNumberFormat="1" applyFont="1" applyBorder="1" applyAlignment="1">
      <alignment horizontal="right" vertical="center"/>
    </xf>
    <xf numFmtId="41" fontId="114" fillId="8" borderId="48" xfId="6" applyNumberFormat="1" applyFont="1" applyFill="1" applyBorder="1" applyAlignment="1">
      <alignment horizontal="right" vertical="center"/>
    </xf>
    <xf numFmtId="41" fontId="113" fillId="8" borderId="50" xfId="6" applyNumberFormat="1" applyFont="1" applyFill="1" applyBorder="1" applyAlignment="1">
      <alignment horizontal="right" vertical="center"/>
    </xf>
    <xf numFmtId="41" fontId="109" fillId="0" borderId="50" xfId="0" applyNumberFormat="1" applyFont="1" applyBorder="1" applyAlignment="1">
      <alignment horizontal="right" vertical="center"/>
    </xf>
    <xf numFmtId="41" fontId="109" fillId="0" borderId="39" xfId="0" applyNumberFormat="1" applyFont="1" applyBorder="1" applyAlignment="1">
      <alignment horizontal="right" vertical="center"/>
    </xf>
    <xf numFmtId="41" fontId="113" fillId="8" borderId="42" xfId="6" applyNumberFormat="1" applyFont="1" applyFill="1" applyBorder="1" applyAlignment="1">
      <alignment horizontal="right" vertical="center"/>
    </xf>
    <xf numFmtId="41" fontId="109" fillId="0" borderId="42" xfId="0" applyNumberFormat="1" applyFont="1" applyBorder="1" applyAlignment="1">
      <alignment horizontal="right" vertical="center"/>
    </xf>
    <xf numFmtId="41" fontId="109" fillId="0" borderId="68" xfId="0" applyNumberFormat="1" applyFont="1" applyBorder="1" applyAlignment="1">
      <alignment horizontal="right" vertical="center"/>
    </xf>
    <xf numFmtId="0" fontId="108" fillId="3" borderId="75" xfId="6" applyFont="1" applyFill="1" applyBorder="1" applyAlignment="1">
      <alignment horizontal="left" vertical="center" wrapText="1"/>
    </xf>
    <xf numFmtId="0" fontId="108" fillId="3" borderId="79" xfId="6" applyFont="1" applyFill="1" applyBorder="1" applyAlignment="1">
      <alignment horizontal="left" vertical="center" wrapText="1"/>
    </xf>
    <xf numFmtId="0" fontId="108" fillId="3" borderId="34" xfId="6" applyFont="1" applyFill="1" applyBorder="1" applyAlignment="1">
      <alignment horizontal="left" vertical="center" wrapText="1"/>
    </xf>
    <xf numFmtId="41" fontId="118" fillId="8" borderId="42" xfId="6" applyNumberFormat="1" applyFont="1" applyFill="1" applyBorder="1" applyAlignment="1">
      <alignment horizontal="right" vertical="center"/>
    </xf>
    <xf numFmtId="41" fontId="115" fillId="3" borderId="75" xfId="6" applyNumberFormat="1" applyFont="1" applyFill="1" applyBorder="1" applyAlignment="1">
      <alignment horizontal="right" vertical="center" wrapText="1"/>
    </xf>
    <xf numFmtId="41" fontId="115" fillId="3" borderId="79" xfId="6" applyNumberFormat="1" applyFont="1" applyFill="1" applyBorder="1" applyAlignment="1">
      <alignment horizontal="right" vertical="center" wrapText="1"/>
    </xf>
    <xf numFmtId="41" fontId="108" fillId="0" borderId="79" xfId="0" applyNumberFormat="1" applyFont="1" applyBorder="1" applyAlignment="1">
      <alignment horizontal="right" vertical="center"/>
    </xf>
    <xf numFmtId="41" fontId="108" fillId="0" borderId="34" xfId="0" applyNumberFormat="1" applyFont="1" applyBorder="1" applyAlignment="1">
      <alignment horizontal="right" vertical="center"/>
    </xf>
    <xf numFmtId="41" fontId="114" fillId="8" borderId="42" xfId="6" applyNumberFormat="1" applyFont="1" applyFill="1" applyBorder="1" applyAlignment="1">
      <alignment horizontal="right" vertical="center"/>
    </xf>
    <xf numFmtId="41" fontId="116" fillId="8" borderId="48" xfId="6" applyNumberFormat="1" applyFont="1" applyFill="1" applyBorder="1" applyAlignment="1">
      <alignment horizontal="right" vertical="center"/>
    </xf>
    <xf numFmtId="0" fontId="110" fillId="5" borderId="72" xfId="6" applyFont="1" applyFill="1" applyBorder="1" applyAlignment="1">
      <alignment horizontal="left" vertical="center" wrapText="1"/>
    </xf>
    <xf numFmtId="0" fontId="110" fillId="5" borderId="42" xfId="6" applyFont="1" applyFill="1" applyBorder="1" applyAlignment="1">
      <alignment horizontal="left" vertical="center" wrapText="1"/>
    </xf>
    <xf numFmtId="0" fontId="110" fillId="5" borderId="68" xfId="6" applyFont="1" applyFill="1" applyBorder="1" applyAlignment="1">
      <alignment horizontal="left" vertical="center" wrapText="1"/>
    </xf>
    <xf numFmtId="0" fontId="110" fillId="3" borderId="75" xfId="6" applyFont="1" applyFill="1" applyBorder="1" applyAlignment="1">
      <alignment horizontal="left" vertical="center" wrapText="1"/>
    </xf>
    <xf numFmtId="0" fontId="110" fillId="3" borderId="79" xfId="6" applyFont="1" applyFill="1" applyBorder="1" applyAlignment="1">
      <alignment horizontal="left" vertical="center" wrapText="1"/>
    </xf>
    <xf numFmtId="0" fontId="110" fillId="3" borderId="34" xfId="6" applyFont="1" applyFill="1" applyBorder="1" applyAlignment="1">
      <alignment horizontal="left" vertical="center" wrapText="1"/>
    </xf>
    <xf numFmtId="0" fontId="110" fillId="3" borderId="14" xfId="6" applyFont="1" applyFill="1" applyBorder="1" applyAlignment="1">
      <alignment horizontal="left" vertical="center" wrapText="1"/>
    </xf>
    <xf numFmtId="0" fontId="110" fillId="3" borderId="6" xfId="6" applyFont="1" applyFill="1" applyBorder="1" applyAlignment="1">
      <alignment horizontal="left" vertical="center" wrapText="1"/>
    </xf>
    <xf numFmtId="41" fontId="111" fillId="3" borderId="75" xfId="6" applyNumberFormat="1" applyFont="1" applyFill="1" applyBorder="1" applyAlignment="1">
      <alignment horizontal="right" vertical="center" wrapText="1"/>
    </xf>
    <xf numFmtId="41" fontId="111" fillId="3" borderId="79" xfId="6" applyNumberFormat="1" applyFont="1" applyFill="1" applyBorder="1" applyAlignment="1">
      <alignment horizontal="right" vertical="center" wrapText="1"/>
    </xf>
    <xf numFmtId="41" fontId="109" fillId="0" borderId="79" xfId="0" applyNumberFormat="1" applyFont="1" applyBorder="1" applyAlignment="1">
      <alignment horizontal="right" vertical="center"/>
    </xf>
    <xf numFmtId="41" fontId="109" fillId="0" borderId="34" xfId="0" applyNumberFormat="1" applyFont="1" applyBorder="1" applyAlignment="1">
      <alignment horizontal="right" vertical="center"/>
    </xf>
    <xf numFmtId="0" fontId="110" fillId="5" borderId="71" xfId="6" applyFont="1" applyFill="1" applyBorder="1" applyAlignment="1">
      <alignment horizontal="left" vertical="center" wrapText="1"/>
    </xf>
    <xf numFmtId="0" fontId="110" fillId="5" borderId="50" xfId="6" applyFont="1" applyFill="1" applyBorder="1" applyAlignment="1">
      <alignment horizontal="left" vertical="center" wrapText="1"/>
    </xf>
    <xf numFmtId="0" fontId="110" fillId="5" borderId="39" xfId="6" applyFont="1" applyFill="1" applyBorder="1" applyAlignment="1">
      <alignment horizontal="left" vertical="center" wrapText="1"/>
    </xf>
    <xf numFmtId="0" fontId="108" fillId="0" borderId="0" xfId="6" applyFont="1" applyBorder="1" applyAlignment="1">
      <alignment horizontal="center" vertical="center" wrapText="1"/>
    </xf>
    <xf numFmtId="0" fontId="109" fillId="0" borderId="0" xfId="0" applyFont="1" applyBorder="1" applyAlignment="1">
      <alignment vertical="center"/>
    </xf>
    <xf numFmtId="41" fontId="118" fillId="8" borderId="48" xfId="6" applyNumberFormat="1" applyFont="1" applyFill="1" applyBorder="1" applyAlignment="1">
      <alignment horizontal="right" vertical="center"/>
    </xf>
    <xf numFmtId="41" fontId="113" fillId="8" borderId="42" xfId="0" applyNumberFormat="1" applyFont="1" applyFill="1" applyBorder="1" applyAlignment="1">
      <alignment horizontal="right" vertical="center"/>
    </xf>
    <xf numFmtId="1" fontId="113" fillId="8" borderId="42" xfId="6" applyNumberFormat="1" applyFont="1" applyFill="1" applyBorder="1" applyAlignment="1">
      <alignment vertical="center"/>
    </xf>
    <xf numFmtId="0" fontId="109" fillId="0" borderId="42" xfId="0" applyFont="1" applyBorder="1" applyAlignment="1">
      <alignment vertical="center"/>
    </xf>
    <xf numFmtId="0" fontId="109" fillId="0" borderId="68" xfId="0" applyFont="1" applyBorder="1" applyAlignment="1">
      <alignment vertical="center"/>
    </xf>
    <xf numFmtId="41" fontId="93" fillId="0" borderId="90" xfId="0" applyNumberFormat="1" applyFont="1" applyBorder="1" applyAlignment="1">
      <alignment horizontal="left" vertical="center" wrapText="1"/>
    </xf>
    <xf numFmtId="41" fontId="93" fillId="0" borderId="2" xfId="0" applyNumberFormat="1" applyFont="1" applyBorder="1" applyAlignment="1">
      <alignment horizontal="left" vertical="center" wrapText="1"/>
    </xf>
    <xf numFmtId="41" fontId="93" fillId="0" borderId="14" xfId="0" applyNumberFormat="1" applyFont="1" applyBorder="1" applyAlignment="1">
      <alignment horizontal="left" vertical="center" wrapText="1"/>
    </xf>
    <xf numFmtId="41" fontId="93" fillId="0" borderId="6" xfId="0" applyNumberFormat="1" applyFont="1" applyBorder="1" applyAlignment="1">
      <alignment horizontal="left" vertical="center" wrapText="1"/>
    </xf>
    <xf numFmtId="41" fontId="94" fillId="3" borderId="24" xfId="6" applyNumberFormat="1" applyFont="1" applyFill="1" applyBorder="1" applyAlignment="1">
      <alignment horizontal="left" vertical="center" wrapText="1"/>
    </xf>
    <xf numFmtId="41" fontId="94" fillId="3" borderId="15" xfId="6" applyNumberFormat="1" applyFont="1" applyFill="1" applyBorder="1" applyAlignment="1">
      <alignment horizontal="left" vertical="center" wrapText="1"/>
    </xf>
    <xf numFmtId="3" fontId="85" fillId="8" borderId="72" xfId="1" applyNumberFormat="1" applyFont="1" applyFill="1" applyBorder="1" applyAlignment="1">
      <alignment horizontal="center" vertical="center"/>
    </xf>
    <xf numFmtId="3" fontId="85" fillId="8" borderId="42" xfId="1" applyNumberFormat="1" applyFont="1" applyFill="1" applyBorder="1" applyAlignment="1">
      <alignment horizontal="center" vertical="center"/>
    </xf>
    <xf numFmtId="3" fontId="86" fillId="8" borderId="42" xfId="0" applyNumberFormat="1" applyFont="1" applyFill="1" applyBorder="1" applyAlignment="1">
      <alignment vertical="center"/>
    </xf>
    <xf numFmtId="3" fontId="86" fillId="8" borderId="68" xfId="0" applyNumberFormat="1" applyFont="1" applyFill="1" applyBorder="1" applyAlignment="1">
      <alignment vertical="center"/>
    </xf>
    <xf numFmtId="41" fontId="85" fillId="9" borderId="75" xfId="1" applyNumberFormat="1" applyFont="1" applyFill="1" applyBorder="1" applyAlignment="1">
      <alignment horizontal="center" vertical="center" wrapText="1"/>
    </xf>
    <xf numFmtId="41" fontId="85" fillId="9" borderId="79" xfId="1" applyNumberFormat="1" applyFont="1" applyFill="1" applyBorder="1" applyAlignment="1">
      <alignment horizontal="center" vertical="center" wrapText="1"/>
    </xf>
    <xf numFmtId="41" fontId="86" fillId="0" borderId="79" xfId="0" applyNumberFormat="1" applyFont="1" applyBorder="1" applyAlignment="1">
      <alignment vertical="center" wrapText="1"/>
    </xf>
    <xf numFmtId="41" fontId="86" fillId="0" borderId="34" xfId="0" applyNumberFormat="1" applyFont="1" applyBorder="1" applyAlignment="1">
      <alignment vertical="center" wrapText="1"/>
    </xf>
    <xf numFmtId="41" fontId="85" fillId="8" borderId="71" xfId="1" applyNumberFormat="1" applyFont="1" applyFill="1" applyBorder="1" applyAlignment="1">
      <alignment horizontal="center" vertical="center" wrapText="1"/>
    </xf>
    <xf numFmtId="41" fontId="85" fillId="8" borderId="50" xfId="1" applyNumberFormat="1" applyFont="1" applyFill="1" applyBorder="1" applyAlignment="1">
      <alignment horizontal="center" vertical="center" wrapText="1"/>
    </xf>
    <xf numFmtId="41" fontId="86" fillId="8" borderId="50" xfId="0" applyNumberFormat="1" applyFont="1" applyFill="1" applyBorder="1" applyAlignment="1">
      <alignment vertical="center" wrapText="1"/>
    </xf>
    <xf numFmtId="41" fontId="86" fillId="8" borderId="39" xfId="0" applyNumberFormat="1" applyFont="1" applyFill="1" applyBorder="1" applyAlignment="1">
      <alignment vertical="center" wrapText="1"/>
    </xf>
    <xf numFmtId="41" fontId="94" fillId="9" borderId="75" xfId="1" applyNumberFormat="1" applyFont="1" applyFill="1" applyBorder="1" applyAlignment="1">
      <alignment horizontal="center" vertical="center" wrapText="1"/>
    </xf>
    <xf numFmtId="41" fontId="94" fillId="9" borderId="79" xfId="1" applyNumberFormat="1" applyFont="1" applyFill="1" applyBorder="1" applyAlignment="1">
      <alignment horizontal="center" vertical="center" wrapText="1"/>
    </xf>
    <xf numFmtId="41" fontId="85" fillId="8" borderId="72" xfId="1" applyNumberFormat="1" applyFont="1" applyFill="1" applyBorder="1" applyAlignment="1">
      <alignment horizontal="center" vertical="center" wrapText="1"/>
    </xf>
    <xf numFmtId="41" fontId="85" fillId="8" borderId="42" xfId="1" applyNumberFormat="1" applyFont="1" applyFill="1" applyBorder="1" applyAlignment="1">
      <alignment horizontal="center" vertical="center" wrapText="1"/>
    </xf>
    <xf numFmtId="41" fontId="86" fillId="8" borderId="42" xfId="0" applyNumberFormat="1" applyFont="1" applyFill="1" applyBorder="1" applyAlignment="1">
      <alignment vertical="center" wrapText="1"/>
    </xf>
    <xf numFmtId="41" fontId="86" fillId="8" borderId="68" xfId="0" applyNumberFormat="1" applyFont="1" applyFill="1" applyBorder="1" applyAlignment="1">
      <alignment vertical="center" wrapText="1"/>
    </xf>
    <xf numFmtId="41" fontId="85" fillId="8" borderId="25" xfId="1" applyNumberFormat="1" applyFont="1" applyFill="1" applyBorder="1" applyAlignment="1">
      <alignment horizontal="center" vertical="center" wrapText="1"/>
    </xf>
    <xf numFmtId="41" fontId="85" fillId="8" borderId="48" xfId="1" applyNumberFormat="1" applyFont="1" applyFill="1" applyBorder="1" applyAlignment="1">
      <alignment horizontal="center" vertical="center" wrapText="1"/>
    </xf>
    <xf numFmtId="41" fontId="86" fillId="8" borderId="48" xfId="0" applyNumberFormat="1" applyFont="1" applyFill="1" applyBorder="1" applyAlignment="1">
      <alignment vertical="center" wrapText="1"/>
    </xf>
    <xf numFmtId="41" fontId="86" fillId="8" borderId="38" xfId="0" applyNumberFormat="1" applyFont="1" applyFill="1" applyBorder="1" applyAlignment="1">
      <alignment vertical="center" wrapText="1"/>
    </xf>
    <xf numFmtId="0" fontId="72" fillId="0" borderId="30" xfId="6" applyFont="1" applyBorder="1" applyAlignment="1">
      <alignment horizontal="center" vertical="center" wrapText="1"/>
    </xf>
    <xf numFmtId="0" fontId="73" fillId="0" borderId="30" xfId="0" applyFont="1" applyBorder="1" applyAlignment="1">
      <alignment vertical="center"/>
    </xf>
    <xf numFmtId="3" fontId="55" fillId="9" borderId="75" xfId="1" applyNumberFormat="1" applyFont="1" applyFill="1" applyBorder="1" applyAlignment="1">
      <alignment horizontal="center" vertical="center"/>
    </xf>
    <xf numFmtId="3" fontId="55" fillId="9" borderId="79" xfId="1" applyNumberFormat="1" applyFont="1" applyFill="1" applyBorder="1" applyAlignment="1">
      <alignment horizontal="center" vertical="center"/>
    </xf>
    <xf numFmtId="3" fontId="55" fillId="0" borderId="79" xfId="0" applyNumberFormat="1" applyFont="1" applyBorder="1" applyAlignment="1">
      <alignment vertical="center"/>
    </xf>
    <xf numFmtId="3" fontId="55" fillId="0" borderId="34" xfId="0" applyNumberFormat="1" applyFont="1" applyBorder="1" applyAlignment="1">
      <alignment vertical="center"/>
    </xf>
    <xf numFmtId="0" fontId="66" fillId="0" borderId="53" xfId="0" applyFont="1" applyFill="1" applyBorder="1" applyAlignment="1">
      <alignment horizontal="center" vertical="center"/>
    </xf>
    <xf numFmtId="0" fontId="66" fillId="0" borderId="74" xfId="0" applyFont="1" applyFill="1" applyBorder="1" applyAlignment="1">
      <alignment horizontal="center" vertical="center"/>
    </xf>
    <xf numFmtId="0" fontId="66" fillId="0" borderId="41" xfId="0" applyFont="1" applyFill="1" applyBorder="1" applyAlignment="1">
      <alignment horizontal="center" vertical="center"/>
    </xf>
    <xf numFmtId="0" fontId="72" fillId="0" borderId="0" xfId="0" applyFont="1" applyAlignment="1">
      <alignment horizontal="center" vertical="center" wrapText="1"/>
    </xf>
    <xf numFmtId="0" fontId="73" fillId="0" borderId="0" xfId="0" applyFont="1" applyAlignment="1">
      <alignment vertical="center"/>
    </xf>
    <xf numFmtId="41" fontId="93" fillId="8" borderId="30" xfId="0" applyNumberFormat="1" applyFont="1" applyFill="1" applyBorder="1" applyAlignment="1">
      <alignment horizontal="left" vertical="center" wrapText="1"/>
    </xf>
    <xf numFmtId="41" fontId="93" fillId="8" borderId="81" xfId="0" applyNumberFormat="1" applyFont="1" applyFill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 wrapText="1"/>
    </xf>
    <xf numFmtId="0" fontId="72" fillId="0" borderId="0" xfId="0" applyFont="1" applyAlignment="1">
      <alignment horizontal="center" vertical="center"/>
    </xf>
    <xf numFmtId="0" fontId="30" fillId="0" borderId="30" xfId="0" applyFont="1" applyBorder="1" applyAlignment="1">
      <alignment horizontal="left" vertical="center" wrapText="1"/>
    </xf>
    <xf numFmtId="0" fontId="55" fillId="0" borderId="0" xfId="0" applyFont="1" applyBorder="1" applyAlignment="1">
      <alignment horizontal="left" vertical="justify"/>
    </xf>
    <xf numFmtId="0" fontId="66" fillId="0" borderId="0" xfId="0" applyFont="1" applyAlignment="1">
      <alignment horizontal="center" vertical="center" wrapText="1"/>
    </xf>
    <xf numFmtId="3" fontId="67" fillId="6" borderId="0" xfId="0" applyNumberFormat="1" applyFont="1" applyFill="1" applyAlignment="1">
      <alignment horizontal="center"/>
    </xf>
    <xf numFmtId="3" fontId="8" fillId="6" borderId="78" xfId="0" applyNumberFormat="1" applyFont="1" applyFill="1" applyBorder="1" applyAlignment="1" applyProtection="1">
      <alignment horizontal="center" vertical="center" wrapText="1"/>
    </xf>
    <xf numFmtId="3" fontId="8" fillId="6" borderId="49" xfId="0" applyNumberFormat="1" applyFont="1" applyFill="1" applyBorder="1" applyAlignment="1" applyProtection="1">
      <alignment horizontal="center" vertical="center" wrapText="1"/>
    </xf>
    <xf numFmtId="3" fontId="8" fillId="6" borderId="23" xfId="0" applyNumberFormat="1" applyFont="1" applyFill="1" applyBorder="1" applyAlignment="1" applyProtection="1">
      <alignment horizontal="center" vertical="center" wrapText="1"/>
    </xf>
    <xf numFmtId="3" fontId="8" fillId="6" borderId="8" xfId="0" applyNumberFormat="1" applyFont="1" applyFill="1" applyBorder="1" applyAlignment="1" applyProtection="1">
      <alignment horizontal="center" vertical="center" wrapText="1"/>
    </xf>
    <xf numFmtId="0" fontId="8" fillId="9" borderId="24" xfId="0" applyFont="1" applyFill="1" applyBorder="1" applyAlignment="1">
      <alignment horizontal="left" vertical="center" wrapText="1"/>
    </xf>
    <xf numFmtId="0" fontId="8" fillId="9" borderId="15" xfId="0" applyFont="1" applyFill="1" applyBorder="1" applyAlignment="1">
      <alignment horizontal="left" vertical="center" wrapText="1"/>
    </xf>
    <xf numFmtId="3" fontId="8" fillId="7" borderId="17" xfId="0" applyNumberFormat="1" applyFont="1" applyFill="1" applyBorder="1" applyAlignment="1" applyProtection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3" fontId="8" fillId="7" borderId="16" xfId="0" applyNumberFormat="1" applyFont="1" applyFill="1" applyBorder="1" applyAlignment="1" applyProtection="1">
      <alignment horizontal="center" vertical="center" wrapText="1"/>
    </xf>
    <xf numFmtId="3" fontId="8" fillId="7" borderId="20" xfId="0" applyNumberFormat="1" applyFont="1" applyFill="1" applyBorder="1" applyAlignment="1" applyProtection="1">
      <alignment horizontal="center" vertical="center" wrapText="1"/>
    </xf>
    <xf numFmtId="49" fontId="8" fillId="6" borderId="45" xfId="0" applyNumberFormat="1" applyFont="1" applyFill="1" applyBorder="1" applyAlignment="1" applyProtection="1">
      <alignment horizontal="center" vertical="center"/>
    </xf>
    <xf numFmtId="49" fontId="8" fillId="6" borderId="35" xfId="0" applyNumberFormat="1" applyFont="1" applyFill="1" applyBorder="1" applyAlignment="1" applyProtection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30" fillId="0" borderId="0" xfId="6" applyFont="1" applyBorder="1" applyAlignment="1">
      <alignment horizontal="center" vertical="center" wrapText="1"/>
    </xf>
    <xf numFmtId="0" fontId="55" fillId="0" borderId="0" xfId="0" applyFont="1" applyAlignment="1">
      <alignment vertical="center" wrapText="1"/>
    </xf>
    <xf numFmtId="0" fontId="64" fillId="0" borderId="16" xfId="6" applyFont="1" applyBorder="1" applyAlignment="1">
      <alignment horizontal="center" vertical="center" wrapText="1"/>
    </xf>
    <xf numFmtId="0" fontId="64" fillId="0" borderId="20" xfId="6" applyFont="1" applyBorder="1" applyAlignment="1">
      <alignment horizontal="center" vertical="center" wrapText="1"/>
    </xf>
    <xf numFmtId="0" fontId="64" fillId="0" borderId="41" xfId="6" applyFont="1" applyBorder="1" applyAlignment="1">
      <alignment horizontal="center" vertical="center" wrapText="1"/>
    </xf>
    <xf numFmtId="0" fontId="64" fillId="0" borderId="52" xfId="6" applyFont="1" applyBorder="1" applyAlignment="1">
      <alignment horizontal="center" vertical="center" wrapText="1"/>
    </xf>
    <xf numFmtId="0" fontId="64" fillId="3" borderId="24" xfId="6" applyFont="1" applyFill="1" applyBorder="1" applyAlignment="1">
      <alignment horizontal="left" vertical="center" wrapText="1"/>
    </xf>
    <xf numFmtId="0" fontId="64" fillId="3" borderId="15" xfId="6" applyFont="1" applyFill="1" applyBorder="1" applyAlignment="1">
      <alignment horizontal="left" vertical="center" wrapText="1"/>
    </xf>
    <xf numFmtId="0" fontId="64" fillId="0" borderId="45" xfId="6" applyFont="1" applyBorder="1" applyAlignment="1">
      <alignment horizontal="center" vertical="center"/>
    </xf>
    <xf numFmtId="0" fontId="64" fillId="0" borderId="35" xfId="6" applyFont="1" applyBorder="1" applyAlignment="1">
      <alignment horizontal="center" vertical="center"/>
    </xf>
    <xf numFmtId="41" fontId="64" fillId="0" borderId="76" xfId="6" applyNumberFormat="1" applyFont="1" applyBorder="1" applyAlignment="1">
      <alignment horizontal="right" vertical="center"/>
    </xf>
    <xf numFmtId="0" fontId="55" fillId="0" borderId="50" xfId="0" applyFont="1" applyBorder="1" applyAlignment="1">
      <alignment vertical="center"/>
    </xf>
    <xf numFmtId="0" fontId="55" fillId="0" borderId="39" xfId="0" applyFont="1" applyBorder="1" applyAlignment="1">
      <alignment vertical="center"/>
    </xf>
    <xf numFmtId="0" fontId="64" fillId="0" borderId="23" xfId="0" applyFont="1" applyBorder="1" applyAlignment="1">
      <alignment horizontal="center" vertical="center" wrapText="1"/>
    </xf>
    <xf numFmtId="0" fontId="64" fillId="0" borderId="80" xfId="0" applyFont="1" applyBorder="1" applyAlignment="1">
      <alignment horizontal="center" vertical="center" wrapText="1"/>
    </xf>
    <xf numFmtId="0" fontId="64" fillId="0" borderId="41" xfId="0" applyFont="1" applyBorder="1" applyAlignment="1">
      <alignment horizontal="center" vertical="center" wrapText="1"/>
    </xf>
    <xf numFmtId="0" fontId="64" fillId="0" borderId="52" xfId="0" applyFont="1" applyBorder="1" applyAlignment="1">
      <alignment horizontal="center" vertical="center" wrapText="1"/>
    </xf>
    <xf numFmtId="0" fontId="64" fillId="0" borderId="74" xfId="0" applyFont="1" applyBorder="1" applyAlignment="1">
      <alignment horizontal="center" vertical="center" wrapText="1"/>
    </xf>
    <xf numFmtId="0" fontId="64" fillId="0" borderId="77" xfId="0" applyFont="1" applyBorder="1" applyAlignment="1">
      <alignment horizontal="center" vertical="center" wrapText="1"/>
    </xf>
    <xf numFmtId="0" fontId="30" fillId="0" borderId="30" xfId="6" applyFont="1" applyBorder="1" applyAlignment="1">
      <alignment horizontal="center" vertical="center" wrapText="1"/>
    </xf>
    <xf numFmtId="0" fontId="64" fillId="0" borderId="9" xfId="6" applyFont="1" applyBorder="1" applyAlignment="1">
      <alignment horizontal="center" vertical="center" wrapText="1"/>
    </xf>
    <xf numFmtId="0" fontId="64" fillId="0" borderId="7" xfId="6" applyFont="1" applyBorder="1" applyAlignment="1">
      <alignment horizontal="center" vertical="center" wrapText="1"/>
    </xf>
    <xf numFmtId="0" fontId="64" fillId="9" borderId="51" xfId="6" applyFont="1" applyFill="1" applyBorder="1" applyAlignment="1">
      <alignment horizontal="left" vertical="center" wrapText="1"/>
    </xf>
    <xf numFmtId="0" fontId="64" fillId="9" borderId="52" xfId="6" applyFont="1" applyFill="1" applyBorder="1" applyAlignment="1">
      <alignment horizontal="left" vertical="center" wrapText="1"/>
    </xf>
    <xf numFmtId="0" fontId="64" fillId="0" borderId="33" xfId="6" applyFont="1" applyBorder="1" applyAlignment="1">
      <alignment horizontal="center" vertical="center"/>
    </xf>
    <xf numFmtId="0" fontId="64" fillId="0" borderId="25" xfId="6" applyFont="1" applyBorder="1" applyAlignment="1">
      <alignment vertical="center" wrapText="1"/>
    </xf>
    <xf numFmtId="0" fontId="55" fillId="0" borderId="48" xfId="0" applyFont="1" applyBorder="1" applyAlignment="1">
      <alignment vertical="center"/>
    </xf>
    <xf numFmtId="0" fontId="55" fillId="0" borderId="38" xfId="0" applyFont="1" applyBorder="1" applyAlignment="1">
      <alignment vertical="center"/>
    </xf>
    <xf numFmtId="0" fontId="64" fillId="0" borderId="16" xfId="0" applyFont="1" applyBorder="1" applyAlignment="1">
      <alignment horizontal="center" vertical="center" wrapText="1"/>
    </xf>
    <xf numFmtId="0" fontId="55" fillId="0" borderId="9" xfId="0" applyFont="1" applyBorder="1" applyAlignment="1">
      <alignment horizontal="center" vertical="center"/>
    </xf>
    <xf numFmtId="0" fontId="64" fillId="0" borderId="17" xfId="0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/>
    </xf>
    <xf numFmtId="1" fontId="30" fillId="0" borderId="23" xfId="0" applyNumberFormat="1" applyFont="1" applyBorder="1" applyAlignment="1">
      <alignment horizontal="center" vertical="center"/>
    </xf>
    <xf numFmtId="1" fontId="30" fillId="0" borderId="80" xfId="0" applyNumberFormat="1" applyFont="1" applyBorder="1" applyAlignment="1">
      <alignment horizontal="center" vertical="center"/>
    </xf>
    <xf numFmtId="1" fontId="30" fillId="0" borderId="41" xfId="0" applyNumberFormat="1" applyFont="1" applyBorder="1" applyAlignment="1">
      <alignment horizontal="center" vertical="center"/>
    </xf>
    <xf numFmtId="1" fontId="30" fillId="0" borderId="52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0" fillId="0" borderId="74" xfId="0" applyFont="1" applyBorder="1" applyAlignment="1">
      <alignment vertical="center"/>
    </xf>
    <xf numFmtId="0" fontId="55" fillId="0" borderId="78" xfId="0" applyFont="1" applyBorder="1" applyAlignment="1">
      <alignment vertical="center"/>
    </xf>
    <xf numFmtId="0" fontId="30" fillId="0" borderId="53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80" fillId="0" borderId="18" xfId="0" applyFont="1" applyBorder="1" applyAlignment="1">
      <alignment horizontal="center" vertical="center"/>
    </xf>
    <xf numFmtId="0" fontId="80" fillId="0" borderId="47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3" fontId="80" fillId="0" borderId="46" xfId="0" applyNumberFormat="1" applyFont="1" applyBorder="1" applyAlignment="1">
      <alignment horizontal="right" vertical="center"/>
    </xf>
    <xf numFmtId="3" fontId="80" fillId="0" borderId="11" xfId="0" applyNumberFormat="1" applyFont="1" applyBorder="1" applyAlignment="1">
      <alignment horizontal="right" vertical="center"/>
    </xf>
    <xf numFmtId="0" fontId="80" fillId="0" borderId="5" xfId="0" applyFont="1" applyBorder="1" applyAlignment="1">
      <alignment horizontal="left" vertical="center" wrapText="1"/>
    </xf>
    <xf numFmtId="0" fontId="80" fillId="0" borderId="4" xfId="0" applyFont="1" applyBorder="1" applyAlignment="1">
      <alignment horizontal="left" vertical="center" wrapText="1"/>
    </xf>
    <xf numFmtId="3" fontId="80" fillId="0" borderId="18" xfId="0" applyNumberFormat="1" applyFont="1" applyBorder="1" applyAlignment="1">
      <alignment horizontal="right" vertical="center"/>
    </xf>
    <xf numFmtId="3" fontId="80" fillId="0" borderId="47" xfId="0" applyNumberFormat="1" applyFont="1" applyBorder="1" applyAlignment="1">
      <alignment horizontal="right" vertical="center"/>
    </xf>
    <xf numFmtId="0" fontId="55" fillId="0" borderId="5" xfId="0" applyFont="1" applyBorder="1" applyAlignment="1">
      <alignment horizontal="left" vertical="center" wrapText="1"/>
    </xf>
    <xf numFmtId="0" fontId="55" fillId="0" borderId="1" xfId="0" applyFont="1" applyBorder="1" applyAlignment="1">
      <alignment horizontal="left" vertical="center" wrapText="1"/>
    </xf>
    <xf numFmtId="0" fontId="65" fillId="0" borderId="5" xfId="0" applyFont="1" applyBorder="1" applyAlignment="1">
      <alignment horizontal="left" vertical="center" wrapText="1"/>
    </xf>
    <xf numFmtId="0" fontId="65" fillId="0" borderId="1" xfId="0" applyFont="1" applyBorder="1" applyAlignment="1">
      <alignment horizontal="left" vertical="center" wrapText="1"/>
    </xf>
    <xf numFmtId="3" fontId="64" fillId="0" borderId="18" xfId="0" applyNumberFormat="1" applyFont="1" applyBorder="1" applyAlignment="1">
      <alignment horizontal="right" vertical="center"/>
    </xf>
    <xf numFmtId="3" fontId="64" fillId="0" borderId="47" xfId="0" applyNumberFormat="1" applyFont="1" applyBorder="1" applyAlignment="1">
      <alignment horizontal="right" vertical="center"/>
    </xf>
    <xf numFmtId="0" fontId="30" fillId="0" borderId="0" xfId="51" applyFont="1" applyFill="1" applyAlignment="1" applyProtection="1">
      <alignment horizontal="center" vertical="center" wrapText="1"/>
      <protection locked="0"/>
    </xf>
    <xf numFmtId="0" fontId="30" fillId="0" borderId="0" xfId="51" applyFont="1" applyFill="1" applyAlignment="1" applyProtection="1">
      <alignment horizontal="center" vertical="center"/>
      <protection locked="0"/>
    </xf>
    <xf numFmtId="0" fontId="77" fillId="0" borderId="75" xfId="51" applyFont="1" applyFill="1" applyBorder="1" applyAlignment="1" applyProtection="1">
      <alignment horizontal="left" vertical="center"/>
    </xf>
    <xf numFmtId="0" fontId="77" fillId="0" borderId="79" xfId="51" applyFont="1" applyFill="1" applyBorder="1" applyAlignment="1" applyProtection="1">
      <alignment horizontal="left" vertical="center"/>
    </xf>
    <xf numFmtId="0" fontId="77" fillId="0" borderId="34" xfId="51" applyFont="1" applyFill="1" applyBorder="1" applyAlignment="1" applyProtection="1">
      <alignment horizontal="left" vertical="center"/>
    </xf>
    <xf numFmtId="3" fontId="72" fillId="0" borderId="0" xfId="4" applyNumberFormat="1" applyFont="1" applyBorder="1" applyAlignment="1">
      <alignment horizontal="center" vertical="center"/>
    </xf>
    <xf numFmtId="0" fontId="72" fillId="0" borderId="85" xfId="0" applyFont="1" applyBorder="1" applyAlignment="1">
      <alignment horizontal="left" vertical="center"/>
    </xf>
    <xf numFmtId="0" fontId="72" fillId="0" borderId="42" xfId="0" applyFont="1" applyBorder="1" applyAlignment="1">
      <alignment horizontal="left" vertical="center"/>
    </xf>
    <xf numFmtId="0" fontId="72" fillId="0" borderId="68" xfId="0" applyFont="1" applyBorder="1" applyAlignment="1">
      <alignment horizontal="left" vertical="center"/>
    </xf>
    <xf numFmtId="41" fontId="72" fillId="0" borderId="40" xfId="0" applyNumberFormat="1" applyFont="1" applyBorder="1" applyAlignment="1">
      <alignment horizontal="left" vertical="center"/>
    </xf>
    <xf numFmtId="41" fontId="72" fillId="0" borderId="50" xfId="0" applyNumberFormat="1" applyFont="1" applyBorder="1" applyAlignment="1">
      <alignment horizontal="left" vertical="center"/>
    </xf>
    <xf numFmtId="41" fontId="72" fillId="0" borderId="39" xfId="0" applyNumberFormat="1" applyFont="1" applyBorder="1" applyAlignment="1">
      <alignment horizontal="left" vertical="center"/>
    </xf>
    <xf numFmtId="0" fontId="66" fillId="0" borderId="0" xfId="0" applyFont="1" applyAlignment="1">
      <alignment horizontal="center" vertical="center"/>
    </xf>
    <xf numFmtId="0" fontId="81" fillId="0" borderId="0" xfId="0" applyFont="1" applyFill="1" applyBorder="1" applyAlignment="1">
      <alignment horizontal="center" vertical="center"/>
    </xf>
    <xf numFmtId="0" fontId="81" fillId="0" borderId="0" xfId="0" applyFont="1" applyBorder="1" applyAlignment="1">
      <alignment horizontal="center" vertical="center"/>
    </xf>
    <xf numFmtId="166" fontId="66" fillId="0" borderId="0" xfId="0" applyNumberFormat="1" applyFont="1" applyFill="1" applyAlignment="1">
      <alignment horizontal="center" vertical="center" wrapText="1"/>
    </xf>
    <xf numFmtId="0" fontId="50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5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52" xfId="0" applyFont="1" applyBorder="1" applyAlignment="1">
      <alignment horizontal="center" vertical="center" wrapText="1"/>
    </xf>
    <xf numFmtId="0" fontId="50" fillId="0" borderId="25" xfId="0" applyFont="1" applyBorder="1" applyAlignment="1">
      <alignment horizontal="center" wrapText="1"/>
    </xf>
    <xf numFmtId="0" fontId="50" fillId="0" borderId="48" xfId="0" applyFont="1" applyBorder="1" applyAlignment="1">
      <alignment horizontal="center" wrapText="1"/>
    </xf>
    <xf numFmtId="0" fontId="50" fillId="0" borderId="2" xfId="0" applyFont="1" applyBorder="1" applyAlignment="1">
      <alignment horizontal="center" wrapText="1"/>
    </xf>
    <xf numFmtId="0" fontId="139" fillId="0" borderId="0" xfId="0" applyFont="1" applyAlignment="1">
      <alignment horizontal="center" vertical="justify" wrapText="1"/>
    </xf>
    <xf numFmtId="0" fontId="139" fillId="0" borderId="0" xfId="0" applyFont="1" applyAlignment="1">
      <alignment horizontal="center" vertical="justify"/>
    </xf>
    <xf numFmtId="0" fontId="139" fillId="0" borderId="14" xfId="0" applyFont="1" applyBorder="1" applyAlignment="1">
      <alignment horizontal="center" vertical="center"/>
    </xf>
    <xf numFmtId="0" fontId="139" fillId="0" borderId="79" xfId="0" applyFont="1" applyBorder="1" applyAlignment="1">
      <alignment horizontal="center" vertical="center"/>
    </xf>
    <xf numFmtId="0" fontId="139" fillId="0" borderId="34" xfId="0" applyFont="1" applyBorder="1" applyAlignment="1">
      <alignment horizontal="center" vertical="center"/>
    </xf>
    <xf numFmtId="0" fontId="139" fillId="9" borderId="24" xfId="0" applyFont="1" applyFill="1" applyBorder="1" applyAlignment="1">
      <alignment horizontal="left" vertical="center"/>
    </xf>
    <xf numFmtId="0" fontId="139" fillId="9" borderId="112" xfId="0" applyFont="1" applyFill="1" applyBorder="1" applyAlignment="1">
      <alignment horizontal="left" vertical="center"/>
    </xf>
    <xf numFmtId="0" fontId="139" fillId="9" borderId="14" xfId="0" applyFont="1" applyFill="1" applyBorder="1" applyAlignment="1">
      <alignment horizontal="left" vertical="center"/>
    </xf>
    <xf numFmtId="0" fontId="139" fillId="9" borderId="116" xfId="0" applyFont="1" applyFill="1" applyBorder="1" applyAlignment="1">
      <alignment horizontal="left" vertical="center"/>
    </xf>
    <xf numFmtId="0" fontId="0" fillId="0" borderId="0" xfId="0" applyAlignment="1">
      <alignment horizontal="center"/>
    </xf>
  </cellXfs>
  <cellStyles count="58">
    <cellStyle name="20% - 1. jelölőszín 2" xfId="9"/>
    <cellStyle name="20% - 2. jelölőszín 2" xfId="10"/>
    <cellStyle name="20% - 3. jelölőszín 2" xfId="11"/>
    <cellStyle name="20% - 4. jelölőszín 2" xfId="12"/>
    <cellStyle name="20% - 5. jelölőszín 2" xfId="13"/>
    <cellStyle name="20% - 6. jelölőszín 2" xfId="14"/>
    <cellStyle name="40% - 1. jelölőszín 2" xfId="15"/>
    <cellStyle name="40% - 2. jelölőszín 2" xfId="16"/>
    <cellStyle name="40% - 3. jelölőszín 2" xfId="17"/>
    <cellStyle name="40% - 4. jelölőszín 2" xfId="18"/>
    <cellStyle name="40% - 5. jelölőszín 2" xfId="19"/>
    <cellStyle name="40% - 6. jelölőszín 2" xfId="20"/>
    <cellStyle name="60% - 1. jelölőszín 2" xfId="21"/>
    <cellStyle name="60% - 2. jelölőszín 2" xfId="22"/>
    <cellStyle name="60% - 3. jelölőszín 2" xfId="23"/>
    <cellStyle name="60% - 4. jelölőszín 2" xfId="24"/>
    <cellStyle name="60% - 5. jelölőszín 2" xfId="25"/>
    <cellStyle name="60% - 6. jelölőszín 2" xfId="26"/>
    <cellStyle name="Bevitel 2" xfId="27"/>
    <cellStyle name="Cím 2" xfId="28"/>
    <cellStyle name="Címsor 1 2" xfId="29"/>
    <cellStyle name="Címsor 2 2" xfId="30"/>
    <cellStyle name="Címsor 3 2" xfId="31"/>
    <cellStyle name="Címsor 4 2" xfId="32"/>
    <cellStyle name="Ellenőrzőcella 2" xfId="33"/>
    <cellStyle name="Ezres" xfId="1" builtinId="3"/>
    <cellStyle name="Ezres 2" xfId="57"/>
    <cellStyle name="Ezres 3" xfId="53"/>
    <cellStyle name="Figyelmeztetés 2" xfId="34"/>
    <cellStyle name="Hivatkozott cella 2" xfId="35"/>
    <cellStyle name="Jegyzet 2" xfId="36"/>
    <cellStyle name="Jelölőszín (1) 2" xfId="37"/>
    <cellStyle name="Jelölőszín (2) 2" xfId="38"/>
    <cellStyle name="Jelölőszín (3)" xfId="52" builtinId="37"/>
    <cellStyle name="Jelölőszín (3) 2" xfId="39"/>
    <cellStyle name="Jelölőszín (4) 2" xfId="40"/>
    <cellStyle name="Jelölőszín (5) 2" xfId="41"/>
    <cellStyle name="Jelölőszín (6) 2" xfId="42"/>
    <cellStyle name="Jó" xfId="50" builtinId="26"/>
    <cellStyle name="Jó 2" xfId="43"/>
    <cellStyle name="Kimenet" xfId="2" builtinId="21"/>
    <cellStyle name="Kimenet 2" xfId="44"/>
    <cellStyle name="Magyarázó szöveg 2" xfId="45"/>
    <cellStyle name="Normál" xfId="0" builtinId="0"/>
    <cellStyle name="Normál 2" xfId="3"/>
    <cellStyle name="Normál 2 2" xfId="4"/>
    <cellStyle name="Normál 2 3" xfId="5"/>
    <cellStyle name="Normál 3" xfId="56"/>
    <cellStyle name="Normál_KÖLTS98" xfId="6"/>
    <cellStyle name="Normál_SEGEDLETEK" xfId="51"/>
    <cellStyle name="Összesen 2" xfId="46"/>
    <cellStyle name="Pénznem 2" xfId="7"/>
    <cellStyle name="Pénznem 2 2" xfId="55"/>
    <cellStyle name="Pénznem 3" xfId="54"/>
    <cellStyle name="Rossz 2" xfId="47"/>
    <cellStyle name="Semleges 2" xfId="48"/>
    <cellStyle name="Számítás 2" xfId="49"/>
    <cellStyle name="Százalék" xfId="8" builtinId="5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666750</xdr:colOff>
      <xdr:row>111</xdr:row>
      <xdr:rowOff>57150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228725" y="36490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B32"/>
  <sheetViews>
    <sheetView view="pageLayout" zoomScale="80" zoomScaleNormal="100" zoomScaleSheetLayoutView="100" zoomScalePageLayoutView="80" workbookViewId="0">
      <selection activeCell="B8" sqref="B8"/>
    </sheetView>
  </sheetViews>
  <sheetFormatPr defaultColWidth="10.42578125" defaultRowHeight="18.75" customHeight="1"/>
  <cols>
    <col min="1" max="1" width="10.28515625" style="5" customWidth="1"/>
    <col min="2" max="2" width="75" style="6" customWidth="1"/>
    <col min="3" max="16384" width="10.42578125" style="6"/>
  </cols>
  <sheetData>
    <row r="1" spans="1:2" ht="31.5" customHeight="1">
      <c r="A1" s="1751" t="s">
        <v>10</v>
      </c>
      <c r="B1" s="1751"/>
    </row>
    <row r="2" spans="1:2" ht="18.75" customHeight="1">
      <c r="A2" s="70" t="s">
        <v>11</v>
      </c>
      <c r="B2" s="7" t="s">
        <v>12</v>
      </c>
    </row>
    <row r="3" spans="1:2" ht="18.75" customHeight="1">
      <c r="A3" s="1746" t="s">
        <v>60</v>
      </c>
      <c r="B3" s="1747" t="s">
        <v>448</v>
      </c>
    </row>
    <row r="4" spans="1:2" ht="18.75" customHeight="1">
      <c r="A4" s="1746"/>
      <c r="B4" s="1747"/>
    </row>
    <row r="5" spans="1:2" ht="22.9" customHeight="1">
      <c r="A5" s="70" t="s">
        <v>218</v>
      </c>
      <c r="B5" s="72" t="s">
        <v>482</v>
      </c>
    </row>
    <row r="6" spans="1:2" ht="22.9" customHeight="1">
      <c r="A6" s="70" t="s">
        <v>219</v>
      </c>
      <c r="B6" s="72" t="s">
        <v>481</v>
      </c>
    </row>
    <row r="7" spans="1:2" ht="22.9" customHeight="1">
      <c r="A7" s="70" t="s">
        <v>257</v>
      </c>
      <c r="B7" s="72" t="s">
        <v>478</v>
      </c>
    </row>
    <row r="8" spans="1:2" ht="22.9" customHeight="1">
      <c r="A8" s="70" t="s">
        <v>260</v>
      </c>
      <c r="B8" s="72" t="s">
        <v>479</v>
      </c>
    </row>
    <row r="9" spans="1:2" ht="22.9" customHeight="1">
      <c r="A9" s="70" t="s">
        <v>261</v>
      </c>
      <c r="B9" s="72" t="s">
        <v>196</v>
      </c>
    </row>
    <row r="10" spans="1:2" ht="22.9" customHeight="1">
      <c r="A10" s="70" t="s">
        <v>262</v>
      </c>
      <c r="B10" s="72" t="s">
        <v>480</v>
      </c>
    </row>
    <row r="11" spans="1:2" ht="22.9" customHeight="1">
      <c r="A11" s="70" t="s">
        <v>263</v>
      </c>
      <c r="B11" s="72" t="s">
        <v>448</v>
      </c>
    </row>
    <row r="12" spans="1:2" s="10" customFormat="1" ht="18.75" customHeight="1">
      <c r="A12" s="1748" t="s">
        <v>98</v>
      </c>
      <c r="B12" s="74" t="s">
        <v>818</v>
      </c>
    </row>
    <row r="13" spans="1:2" s="10" customFormat="1" ht="18.75" customHeight="1">
      <c r="A13" s="1749"/>
      <c r="B13" s="73" t="s">
        <v>38</v>
      </c>
    </row>
    <row r="14" spans="1:2" s="10" customFormat="1" ht="18.75" customHeight="1">
      <c r="A14" s="1749"/>
      <c r="B14" s="73" t="s">
        <v>7</v>
      </c>
    </row>
    <row r="15" spans="1:2" s="10" customFormat="1" ht="18.75" customHeight="1">
      <c r="A15" s="1749"/>
      <c r="B15" s="73" t="s">
        <v>8</v>
      </c>
    </row>
    <row r="16" spans="1:2" s="10" customFormat="1" ht="18.75" customHeight="1">
      <c r="A16" s="1749"/>
      <c r="B16" s="73" t="s">
        <v>279</v>
      </c>
    </row>
    <row r="17" spans="1:2" s="10" customFormat="1" ht="18.75" customHeight="1">
      <c r="A17" s="1750"/>
      <c r="B17" s="73" t="s">
        <v>281</v>
      </c>
    </row>
    <row r="18" spans="1:2" ht="37.700000000000003" customHeight="1">
      <c r="A18" s="70" t="s">
        <v>61</v>
      </c>
      <c r="B18" s="71" t="s">
        <v>243</v>
      </c>
    </row>
    <row r="19" spans="1:2" ht="22.9" customHeight="1">
      <c r="A19" s="70" t="s">
        <v>264</v>
      </c>
      <c r="B19" s="72" t="s">
        <v>77</v>
      </c>
    </row>
    <row r="20" spans="1:2" ht="30">
      <c r="A20" s="70" t="s">
        <v>265</v>
      </c>
      <c r="B20" s="72" t="s">
        <v>88</v>
      </c>
    </row>
    <row r="21" spans="1:2" ht="22.9" customHeight="1">
      <c r="A21" s="70" t="s">
        <v>266</v>
      </c>
      <c r="B21" s="72" t="s">
        <v>91</v>
      </c>
    </row>
    <row r="22" spans="1:2" ht="22.9" customHeight="1">
      <c r="A22" s="70" t="s">
        <v>267</v>
      </c>
      <c r="B22" s="72" t="s">
        <v>99</v>
      </c>
    </row>
    <row r="23" spans="1:2" ht="22.9" customHeight="1">
      <c r="A23" s="70" t="s">
        <v>268</v>
      </c>
      <c r="B23" s="72" t="s">
        <v>101</v>
      </c>
    </row>
    <row r="24" spans="1:2" ht="22.9" customHeight="1">
      <c r="A24" s="70" t="s">
        <v>269</v>
      </c>
      <c r="B24" s="72" t="s">
        <v>105</v>
      </c>
    </row>
    <row r="25" spans="1:2" ht="22.9" customHeight="1">
      <c r="A25" s="70" t="s">
        <v>270</v>
      </c>
      <c r="B25" s="72" t="s">
        <v>9</v>
      </c>
    </row>
    <row r="26" spans="1:2" ht="37.700000000000003" customHeight="1">
      <c r="A26" s="8" t="s">
        <v>271</v>
      </c>
      <c r="B26" s="71" t="s">
        <v>299</v>
      </c>
    </row>
    <row r="27" spans="1:2" ht="22.9" customHeight="1">
      <c r="A27" s="70" t="s">
        <v>272</v>
      </c>
      <c r="B27" s="72" t="s">
        <v>77</v>
      </c>
    </row>
    <row r="28" spans="1:2" ht="30">
      <c r="A28" s="75" t="s">
        <v>273</v>
      </c>
      <c r="B28" s="72" t="s">
        <v>88</v>
      </c>
    </row>
    <row r="29" spans="1:2" ht="22.9" customHeight="1">
      <c r="A29" s="70" t="s">
        <v>274</v>
      </c>
      <c r="B29" s="72" t="s">
        <v>148</v>
      </c>
    </row>
    <row r="30" spans="1:2" ht="22.9" customHeight="1">
      <c r="A30" s="70" t="s">
        <v>275</v>
      </c>
      <c r="B30" s="72" t="s">
        <v>91</v>
      </c>
    </row>
    <row r="31" spans="1:2" ht="22.9" customHeight="1">
      <c r="A31" s="70" t="s">
        <v>276</v>
      </c>
      <c r="B31" s="72" t="s">
        <v>99</v>
      </c>
    </row>
    <row r="32" spans="1:2" ht="22.9" customHeight="1">
      <c r="A32" s="70" t="s">
        <v>277</v>
      </c>
      <c r="B32" s="72" t="s">
        <v>101</v>
      </c>
    </row>
  </sheetData>
  <mergeCells count="4">
    <mergeCell ref="A3:A4"/>
    <mergeCell ref="B3:B4"/>
    <mergeCell ref="A12:A17"/>
    <mergeCell ref="A1:B1"/>
  </mergeCells>
  <phoneticPr fontId="14" type="noConversion"/>
  <printOptions horizontalCentered="1"/>
  <pageMargins left="0.82677165354330717" right="0.82677165354330717" top="0.74803149606299213" bottom="0.74803149606299213" header="0.31496062992125984" footer="0.31496062992125984"/>
  <pageSetup paperSize="9" orientation="portrait" r:id="rId1"/>
  <headerFooter>
    <oddHeader>&amp;L&amp;"Arial,Dőlt"&amp;8&amp;U 1. melléklet a 15/2015 (V.29.) önkormányzati rendelethez</oddHeader>
    <oddFooter>&amp;C&amp;9 &amp;8Nagykőrös Város Önkormányzat 2014. évi zárszámadási rendelete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Q93"/>
  <sheetViews>
    <sheetView view="pageLayout" topLeftCell="A55" zoomScaleNormal="100" zoomScaleSheetLayoutView="70" workbookViewId="0">
      <selection activeCell="B60" sqref="B60"/>
    </sheetView>
  </sheetViews>
  <sheetFormatPr defaultColWidth="9.140625" defaultRowHeight="15"/>
  <cols>
    <col min="1" max="1" width="5.28515625" style="95" customWidth="1"/>
    <col min="2" max="2" width="57" style="95" customWidth="1"/>
    <col min="3" max="3" width="22.42578125" style="136" bestFit="1" customWidth="1"/>
    <col min="4" max="4" width="15.5703125" style="136" hidden="1" customWidth="1"/>
    <col min="5" max="10" width="16.28515625" style="136" hidden="1" customWidth="1"/>
    <col min="11" max="11" width="16.140625" style="136" bestFit="1" customWidth="1"/>
    <col min="12" max="12" width="16.28515625" style="136" customWidth="1"/>
    <col min="13" max="13" width="20.140625" style="136" bestFit="1" customWidth="1"/>
    <col min="14" max="14" width="17" style="95" bestFit="1" customWidth="1"/>
    <col min="15" max="15" width="15.42578125" style="95" bestFit="1" customWidth="1"/>
    <col min="16" max="16" width="11.42578125" style="95" customWidth="1"/>
    <col min="17" max="17" width="14.42578125" style="95" bestFit="1" customWidth="1"/>
    <col min="18" max="16384" width="9.140625" style="95"/>
  </cols>
  <sheetData>
    <row r="1" spans="1:17" ht="8.25" customHeight="1">
      <c r="A1" s="1901" t="s">
        <v>911</v>
      </c>
      <c r="B1" s="1901"/>
      <c r="C1" s="1902"/>
      <c r="D1" s="1902"/>
      <c r="E1" s="1902"/>
      <c r="F1" s="1902"/>
      <c r="G1" s="1902"/>
      <c r="H1" s="1902"/>
      <c r="I1" s="1902"/>
      <c r="J1" s="1902"/>
      <c r="K1" s="1902"/>
      <c r="L1" s="1902"/>
      <c r="M1" s="1902"/>
      <c r="N1" s="1902"/>
      <c r="O1" s="1902"/>
      <c r="P1" s="1902"/>
    </row>
    <row r="2" spans="1:17" ht="21" customHeight="1" thickBot="1">
      <c r="A2" s="1893"/>
      <c r="B2" s="1893"/>
      <c r="C2" s="1893"/>
      <c r="D2" s="1893"/>
      <c r="E2" s="1893"/>
      <c r="F2" s="1893"/>
      <c r="G2" s="1893"/>
      <c r="H2" s="1893"/>
      <c r="I2" s="1893"/>
      <c r="J2" s="1893"/>
      <c r="K2" s="1893"/>
      <c r="L2" s="1893"/>
      <c r="M2" s="1893"/>
      <c r="N2" s="1893"/>
      <c r="O2" s="1893"/>
      <c r="P2" s="1893"/>
    </row>
    <row r="3" spans="1:17" s="356" customFormat="1" ht="46.5" customHeight="1" thickBot="1">
      <c r="A3" s="1898" t="s">
        <v>357</v>
      </c>
      <c r="B3" s="1899"/>
      <c r="C3" s="1487" t="s">
        <v>284</v>
      </c>
      <c r="D3" s="1488" t="s">
        <v>151</v>
      </c>
      <c r="E3" s="1487" t="s">
        <v>869</v>
      </c>
      <c r="F3" s="1487" t="s">
        <v>870</v>
      </c>
      <c r="G3" s="1487" t="s">
        <v>912</v>
      </c>
      <c r="H3" s="1487" t="s">
        <v>870</v>
      </c>
      <c r="I3" s="1487" t="s">
        <v>912</v>
      </c>
      <c r="J3" s="1487" t="s">
        <v>863</v>
      </c>
      <c r="K3" s="1487" t="s">
        <v>960</v>
      </c>
      <c r="L3" s="1487" t="s">
        <v>954</v>
      </c>
      <c r="M3" s="122" t="s">
        <v>955</v>
      </c>
      <c r="N3" s="526" t="s">
        <v>811</v>
      </c>
      <c r="O3" s="526" t="s">
        <v>319</v>
      </c>
      <c r="P3" s="527" t="s">
        <v>812</v>
      </c>
    </row>
    <row r="4" spans="1:17" s="356" customFormat="1" ht="28.35" customHeight="1">
      <c r="A4" s="1058"/>
      <c r="B4" s="1056" t="s">
        <v>555</v>
      </c>
      <c r="C4" s="1066"/>
      <c r="D4" s="1066"/>
      <c r="E4" s="1066"/>
      <c r="F4" s="1066"/>
      <c r="G4" s="1066"/>
      <c r="H4" s="1066"/>
      <c r="I4" s="1066"/>
      <c r="J4" s="1066"/>
      <c r="K4" s="1066"/>
      <c r="L4" s="1066"/>
      <c r="M4" s="1066"/>
      <c r="N4" s="1066"/>
      <c r="O4" s="1066"/>
      <c r="P4" s="1065"/>
      <c r="Q4" s="981">
        <f>N4+O4+P4</f>
        <v>0</v>
      </c>
    </row>
    <row r="5" spans="1:17" s="108" customFormat="1" ht="33" customHeight="1">
      <c r="A5" s="1095" t="s">
        <v>60</v>
      </c>
      <c r="B5" s="1057" t="s">
        <v>842</v>
      </c>
      <c r="C5" s="1097"/>
      <c r="D5" s="1098">
        <f>'7'!D10</f>
        <v>2030</v>
      </c>
      <c r="E5" s="1098">
        <f>C5+D5</f>
        <v>2030</v>
      </c>
      <c r="F5" s="1098">
        <v>1500</v>
      </c>
      <c r="G5" s="1098">
        <v>3530</v>
      </c>
      <c r="H5" s="1098">
        <f>298+424</f>
        <v>722</v>
      </c>
      <c r="I5" s="1098">
        <f t="shared" ref="I5:I10" si="0">G5+H5</f>
        <v>4252</v>
      </c>
      <c r="J5" s="1098">
        <v>-200</v>
      </c>
      <c r="K5" s="1677">
        <v>4347</v>
      </c>
      <c r="L5" s="1098">
        <v>4346</v>
      </c>
      <c r="M5" s="1625">
        <f>L5/K5</f>
        <v>0.99976995629169541</v>
      </c>
      <c r="N5" s="1098">
        <v>4052</v>
      </c>
      <c r="O5" s="1099">
        <f>SUM(O4)</f>
        <v>0</v>
      </c>
      <c r="P5" s="1100">
        <f>SUM(P4)</f>
        <v>0</v>
      </c>
      <c r="Q5" s="981">
        <f>N5+O5+P5</f>
        <v>4052</v>
      </c>
    </row>
    <row r="6" spans="1:17" s="108" customFormat="1" ht="26.1" customHeight="1">
      <c r="A6" s="1095" t="s">
        <v>61</v>
      </c>
      <c r="B6" s="1064" t="s">
        <v>848</v>
      </c>
      <c r="C6" s="1097"/>
      <c r="D6" s="1098">
        <f>'7'!D23</f>
        <v>1377</v>
      </c>
      <c r="E6" s="1098">
        <f t="shared" ref="E6:E17" si="1">C6+D6</f>
        <v>1377</v>
      </c>
      <c r="F6" s="1098"/>
      <c r="G6" s="1098">
        <v>1377</v>
      </c>
      <c r="H6" s="1098">
        <v>858</v>
      </c>
      <c r="I6" s="1098">
        <f t="shared" si="0"/>
        <v>2235</v>
      </c>
      <c r="J6" s="1098">
        <v>384</v>
      </c>
      <c r="K6" s="1098">
        <f t="shared" ref="K6:K10" si="2">I6+J6</f>
        <v>2619</v>
      </c>
      <c r="L6" s="1098">
        <v>2436</v>
      </c>
      <c r="M6" s="1494">
        <f t="shared" ref="M6:M18" si="3">L6/K6</f>
        <v>0.93012600229095077</v>
      </c>
      <c r="N6" s="1098">
        <v>2619</v>
      </c>
      <c r="O6" s="1099"/>
      <c r="P6" s="1100"/>
      <c r="Q6" s="981"/>
    </row>
    <row r="7" spans="1:17" s="108" customFormat="1" ht="26.1" customHeight="1">
      <c r="A7" s="1095" t="s">
        <v>62</v>
      </c>
      <c r="B7" s="1063" t="s">
        <v>857</v>
      </c>
      <c r="C7" s="1097"/>
      <c r="D7" s="1098">
        <f>'7'!D36</f>
        <v>1295</v>
      </c>
      <c r="E7" s="1098">
        <f t="shared" si="1"/>
        <v>1295</v>
      </c>
      <c r="F7" s="1098"/>
      <c r="G7" s="1098">
        <f>E7+F7</f>
        <v>1295</v>
      </c>
      <c r="H7" s="1098">
        <v>26</v>
      </c>
      <c r="I7" s="1098">
        <f t="shared" si="0"/>
        <v>1321</v>
      </c>
      <c r="J7" s="1098">
        <v>1042</v>
      </c>
      <c r="K7" s="1098">
        <f t="shared" si="2"/>
        <v>2363</v>
      </c>
      <c r="L7" s="1098">
        <v>2363</v>
      </c>
      <c r="M7" s="1494">
        <f t="shared" si="3"/>
        <v>1</v>
      </c>
      <c r="N7" s="1098">
        <v>2363</v>
      </c>
      <c r="O7" s="1099"/>
      <c r="P7" s="1100"/>
      <c r="Q7" s="981"/>
    </row>
    <row r="8" spans="1:17" s="108" customFormat="1" ht="26.1" customHeight="1">
      <c r="A8" s="1095" t="s">
        <v>63</v>
      </c>
      <c r="B8" s="1063" t="s">
        <v>860</v>
      </c>
      <c r="C8" s="1097"/>
      <c r="D8" s="1098">
        <f>'7'!D49</f>
        <v>1933</v>
      </c>
      <c r="E8" s="1098">
        <f t="shared" si="1"/>
        <v>1933</v>
      </c>
      <c r="F8" s="1098"/>
      <c r="G8" s="1098">
        <f>E8+F8</f>
        <v>1933</v>
      </c>
      <c r="H8" s="1098"/>
      <c r="I8" s="1098">
        <f t="shared" si="0"/>
        <v>1933</v>
      </c>
      <c r="J8" s="1098"/>
      <c r="K8" s="1098">
        <f t="shared" si="2"/>
        <v>1933</v>
      </c>
      <c r="L8" s="1098">
        <v>1039</v>
      </c>
      <c r="M8" s="1494">
        <f t="shared" si="3"/>
        <v>0.53750646663217794</v>
      </c>
      <c r="N8" s="1098">
        <v>1933</v>
      </c>
      <c r="O8" s="1099"/>
      <c r="P8" s="1100"/>
      <c r="Q8" s="981"/>
    </row>
    <row r="9" spans="1:17" s="108" customFormat="1" ht="26.1" customHeight="1">
      <c r="A9" s="1095" t="s">
        <v>64</v>
      </c>
      <c r="B9" s="1063" t="s">
        <v>859</v>
      </c>
      <c r="C9" s="1097"/>
      <c r="D9" s="1098">
        <f>'7'!D62</f>
        <v>1600</v>
      </c>
      <c r="E9" s="1098">
        <f t="shared" si="1"/>
        <v>1600</v>
      </c>
      <c r="F9" s="1098">
        <v>-800</v>
      </c>
      <c r="G9" s="1098">
        <f>E9+F9</f>
        <v>800</v>
      </c>
      <c r="H9" s="1098"/>
      <c r="I9" s="1098">
        <f t="shared" si="0"/>
        <v>800</v>
      </c>
      <c r="J9" s="1098">
        <v>2</v>
      </c>
      <c r="K9" s="1098">
        <f t="shared" si="2"/>
        <v>802</v>
      </c>
      <c r="L9" s="1098">
        <v>802</v>
      </c>
      <c r="M9" s="1494">
        <f t="shared" si="3"/>
        <v>1</v>
      </c>
      <c r="N9" s="1098">
        <v>802</v>
      </c>
      <c r="O9" s="1099"/>
      <c r="P9" s="1100"/>
      <c r="Q9" s="981"/>
    </row>
    <row r="10" spans="1:17" s="108" customFormat="1" ht="26.1" customHeight="1">
      <c r="A10" s="1095" t="s">
        <v>65</v>
      </c>
      <c r="B10" s="1063" t="s">
        <v>858</v>
      </c>
      <c r="C10" s="1097"/>
      <c r="D10" s="1098">
        <f>'7'!D75</f>
        <v>927</v>
      </c>
      <c r="E10" s="1098">
        <f t="shared" si="1"/>
        <v>927</v>
      </c>
      <c r="F10" s="1098"/>
      <c r="G10" s="1098">
        <f>E10+F10</f>
        <v>927</v>
      </c>
      <c r="H10" s="1098"/>
      <c r="I10" s="1098">
        <f t="shared" si="0"/>
        <v>927</v>
      </c>
      <c r="J10" s="1098"/>
      <c r="K10" s="1098">
        <f t="shared" si="2"/>
        <v>927</v>
      </c>
      <c r="L10" s="1098">
        <v>395</v>
      </c>
      <c r="M10" s="1494">
        <f t="shared" si="3"/>
        <v>0.4261057173678533</v>
      </c>
      <c r="N10" s="1098">
        <v>927</v>
      </c>
      <c r="O10" s="1099"/>
      <c r="P10" s="1100"/>
      <c r="Q10" s="981"/>
    </row>
    <row r="11" spans="1:17" s="108" customFormat="1" ht="26.1" customHeight="1">
      <c r="A11" s="1095" t="s">
        <v>66</v>
      </c>
      <c r="B11" s="1062" t="s">
        <v>448</v>
      </c>
      <c r="C11" s="1097"/>
      <c r="D11" s="1098">
        <f>SUM(D12:D17)</f>
        <v>22811</v>
      </c>
      <c r="E11" s="1098">
        <v>23047</v>
      </c>
      <c r="F11" s="1098">
        <f t="shared" ref="F11:N11" si="4">SUM(F12:F17)</f>
        <v>226</v>
      </c>
      <c r="G11" s="1098">
        <f t="shared" si="4"/>
        <v>23273</v>
      </c>
      <c r="H11" s="1098">
        <f t="shared" si="4"/>
        <v>0</v>
      </c>
      <c r="I11" s="1098">
        <f t="shared" si="4"/>
        <v>23273</v>
      </c>
      <c r="J11" s="1098">
        <f t="shared" si="4"/>
        <v>-5016</v>
      </c>
      <c r="K11" s="1098">
        <f>SUM(K12:K17)</f>
        <v>18257</v>
      </c>
      <c r="L11" s="1098">
        <v>13370</v>
      </c>
      <c r="M11" s="1494">
        <f t="shared" si="3"/>
        <v>0.7323218491537492</v>
      </c>
      <c r="N11" s="1098">
        <f t="shared" si="4"/>
        <v>9177</v>
      </c>
      <c r="O11" s="1098">
        <f>SUM(O12:O17)</f>
        <v>9080</v>
      </c>
      <c r="P11" s="1100"/>
      <c r="Q11" s="981"/>
    </row>
    <row r="12" spans="1:17" s="1209" customFormat="1" ht="33" customHeight="1">
      <c r="A12" s="1324"/>
      <c r="B12" s="1203" t="s">
        <v>844</v>
      </c>
      <c r="C12" s="1204"/>
      <c r="D12" s="1205">
        <f>'7'!D101</f>
        <v>1566</v>
      </c>
      <c r="E12" s="1205">
        <f t="shared" si="1"/>
        <v>1566</v>
      </c>
      <c r="F12" s="1205"/>
      <c r="G12" s="1205">
        <f t="shared" ref="G12:G18" si="5">E12+F12</f>
        <v>1566</v>
      </c>
      <c r="H12" s="1205"/>
      <c r="I12" s="1205">
        <f t="shared" ref="I12:I18" si="6">G12+H12</f>
        <v>1566</v>
      </c>
      <c r="J12" s="1205">
        <v>-910</v>
      </c>
      <c r="K12" s="1205">
        <f>I12+J12</f>
        <v>656</v>
      </c>
      <c r="L12" s="1205">
        <v>646</v>
      </c>
      <c r="M12" s="1494">
        <f t="shared" si="3"/>
        <v>0.9847560975609756</v>
      </c>
      <c r="N12" s="1205">
        <v>656</v>
      </c>
      <c r="O12" s="1206"/>
      <c r="P12" s="1207"/>
      <c r="Q12" s="1208"/>
    </row>
    <row r="13" spans="1:17" s="1209" customFormat="1" ht="24.95" customHeight="1">
      <c r="A13" s="1325"/>
      <c r="B13" s="1203" t="s">
        <v>843</v>
      </c>
      <c r="C13" s="1204"/>
      <c r="D13" s="1205">
        <f>'7'!D114</f>
        <v>2413</v>
      </c>
      <c r="E13" s="1205">
        <f t="shared" si="1"/>
        <v>2413</v>
      </c>
      <c r="F13" s="1205"/>
      <c r="G13" s="1205">
        <f t="shared" si="5"/>
        <v>2413</v>
      </c>
      <c r="H13" s="1205"/>
      <c r="I13" s="1205">
        <f t="shared" si="6"/>
        <v>2413</v>
      </c>
      <c r="J13" s="1205">
        <v>-1880</v>
      </c>
      <c r="K13" s="1205">
        <f t="shared" ref="K13:K17" si="7">I13+J13</f>
        <v>533</v>
      </c>
      <c r="L13" s="1205">
        <v>658</v>
      </c>
      <c r="M13" s="1494">
        <f t="shared" si="3"/>
        <v>1.2345215759849906</v>
      </c>
      <c r="N13" s="1205">
        <v>533</v>
      </c>
      <c r="O13" s="1206"/>
      <c r="P13" s="1207"/>
      <c r="Q13" s="1208"/>
    </row>
    <row r="14" spans="1:17" s="1209" customFormat="1" ht="24.95" customHeight="1">
      <c r="A14" s="1327"/>
      <c r="B14" s="1211" t="s">
        <v>845</v>
      </c>
      <c r="C14" s="1206"/>
      <c r="D14" s="1205">
        <f>'7'!D127</f>
        <v>11183</v>
      </c>
      <c r="E14" s="1205">
        <f t="shared" si="1"/>
        <v>11183</v>
      </c>
      <c r="F14" s="1205"/>
      <c r="G14" s="1205">
        <f t="shared" si="5"/>
        <v>11183</v>
      </c>
      <c r="H14" s="1205"/>
      <c r="I14" s="1205">
        <f t="shared" si="6"/>
        <v>11183</v>
      </c>
      <c r="J14" s="1205">
        <f>-2000-450</f>
        <v>-2450</v>
      </c>
      <c r="K14" s="1205">
        <f t="shared" si="7"/>
        <v>8733</v>
      </c>
      <c r="L14" s="1205">
        <v>3731</v>
      </c>
      <c r="M14" s="1494">
        <f t="shared" si="3"/>
        <v>0.42723004694835681</v>
      </c>
      <c r="N14" s="1206"/>
      <c r="O14" s="1205">
        <v>8733</v>
      </c>
      <c r="P14" s="1212"/>
      <c r="Q14" s="1208"/>
    </row>
    <row r="15" spans="1:17" s="1209" customFormat="1" ht="24.95" customHeight="1">
      <c r="A15" s="1327"/>
      <c r="B15" s="1211" t="s">
        <v>847</v>
      </c>
      <c r="C15" s="1206"/>
      <c r="D15" s="1205">
        <f>'7'!D140</f>
        <v>0</v>
      </c>
      <c r="E15" s="1205">
        <v>216</v>
      </c>
      <c r="F15" s="1205">
        <v>126</v>
      </c>
      <c r="G15" s="1205">
        <f t="shared" si="5"/>
        <v>342</v>
      </c>
      <c r="H15" s="1205"/>
      <c r="I15" s="1205">
        <f t="shared" si="6"/>
        <v>342</v>
      </c>
      <c r="J15" s="1205">
        <v>5</v>
      </c>
      <c r="K15" s="1205">
        <f t="shared" si="7"/>
        <v>347</v>
      </c>
      <c r="L15" s="1205">
        <v>346</v>
      </c>
      <c r="M15" s="1494">
        <f t="shared" si="3"/>
        <v>0.99711815561959649</v>
      </c>
      <c r="N15" s="1206"/>
      <c r="O15" s="1205">
        <v>347</v>
      </c>
      <c r="P15" s="1212"/>
      <c r="Q15" s="1208"/>
    </row>
    <row r="16" spans="1:17" s="1209" customFormat="1" ht="33" customHeight="1">
      <c r="A16" s="1327"/>
      <c r="B16" s="1211" t="s">
        <v>846</v>
      </c>
      <c r="C16" s="1206"/>
      <c r="D16" s="1205">
        <f>'7'!D153</f>
        <v>101</v>
      </c>
      <c r="E16" s="1205">
        <v>121</v>
      </c>
      <c r="F16" s="1205">
        <v>100</v>
      </c>
      <c r="G16" s="1205">
        <f t="shared" si="5"/>
        <v>221</v>
      </c>
      <c r="H16" s="1205"/>
      <c r="I16" s="1205">
        <f t="shared" si="6"/>
        <v>221</v>
      </c>
      <c r="J16" s="1205">
        <v>145</v>
      </c>
      <c r="K16" s="1205">
        <f t="shared" si="7"/>
        <v>366</v>
      </c>
      <c r="L16" s="1205">
        <v>366</v>
      </c>
      <c r="M16" s="1494">
        <f t="shared" si="3"/>
        <v>1</v>
      </c>
      <c r="N16" s="1205">
        <v>366</v>
      </c>
      <c r="O16" s="1206"/>
      <c r="P16" s="1212"/>
      <c r="Q16" s="1208"/>
    </row>
    <row r="17" spans="1:17" s="1209" customFormat="1" ht="24.95" customHeight="1">
      <c r="A17" s="1326"/>
      <c r="B17" s="1211" t="s">
        <v>861</v>
      </c>
      <c r="C17" s="1206"/>
      <c r="D17" s="1205">
        <f>'7'!D166</f>
        <v>7548</v>
      </c>
      <c r="E17" s="1205">
        <f t="shared" si="1"/>
        <v>7548</v>
      </c>
      <c r="F17" s="1205"/>
      <c r="G17" s="1205">
        <f t="shared" si="5"/>
        <v>7548</v>
      </c>
      <c r="H17" s="1205"/>
      <c r="I17" s="1205">
        <f t="shared" si="6"/>
        <v>7548</v>
      </c>
      <c r="J17" s="1205">
        <v>74</v>
      </c>
      <c r="K17" s="1205">
        <f t="shared" si="7"/>
        <v>7622</v>
      </c>
      <c r="L17" s="1205">
        <v>7499</v>
      </c>
      <c r="M17" s="1494">
        <f t="shared" si="3"/>
        <v>0.98386250327997904</v>
      </c>
      <c r="N17" s="1205">
        <v>7622</v>
      </c>
      <c r="O17" s="1206"/>
      <c r="P17" s="1212"/>
      <c r="Q17" s="1208"/>
    </row>
    <row r="18" spans="1:17" s="108" customFormat="1" ht="24.75" customHeight="1">
      <c r="A18" s="1096"/>
      <c r="B18" s="1067" t="s">
        <v>454</v>
      </c>
      <c r="C18" s="1099"/>
      <c r="D18" s="1099">
        <f>D5+D6+D7+D8+D9+D10+D11</f>
        <v>31973</v>
      </c>
      <c r="E18" s="1099">
        <v>32209</v>
      </c>
      <c r="F18" s="1099">
        <f>SUM(F5:F11)</f>
        <v>926</v>
      </c>
      <c r="G18" s="1099">
        <f t="shared" si="5"/>
        <v>33135</v>
      </c>
      <c r="H18" s="1099">
        <f>SUM(H5:H11)</f>
        <v>1606</v>
      </c>
      <c r="I18" s="1099">
        <f t="shared" si="6"/>
        <v>34741</v>
      </c>
      <c r="J18" s="1099">
        <f>SUM(J5:J11)</f>
        <v>-3788</v>
      </c>
      <c r="K18" s="1099">
        <f>SUM(K5:K11)</f>
        <v>31248</v>
      </c>
      <c r="L18" s="1099">
        <f>SUM(L5:L11)</f>
        <v>24751</v>
      </c>
      <c r="M18" s="1495">
        <f t="shared" si="3"/>
        <v>0.79208269329237069</v>
      </c>
      <c r="N18" s="1099">
        <f>N5+N6+N7+N8+N9+N10+N11</f>
        <v>21873</v>
      </c>
      <c r="O18" s="1099">
        <f>O5+O6+O7+O8+O9+O10+O11</f>
        <v>9080</v>
      </c>
      <c r="P18" s="1101"/>
      <c r="Q18" s="1491"/>
    </row>
    <row r="19" spans="1:17" s="356" customFormat="1" ht="28.35" customHeight="1" thickBot="1">
      <c r="A19" s="1061"/>
      <c r="B19" s="1060" t="s">
        <v>451</v>
      </c>
      <c r="C19" s="1102"/>
      <c r="D19" s="1102"/>
      <c r="E19" s="1102"/>
      <c r="F19" s="1102"/>
      <c r="G19" s="1102"/>
      <c r="H19" s="1102"/>
      <c r="I19" s="1102"/>
      <c r="J19" s="1102"/>
      <c r="K19" s="1102"/>
      <c r="L19" s="1102"/>
      <c r="M19" s="1102"/>
      <c r="N19" s="1103"/>
      <c r="O19" s="1103"/>
      <c r="P19" s="1104"/>
      <c r="Q19" s="981"/>
    </row>
    <row r="20" spans="1:17" s="356" customFormat="1" ht="33.950000000000003" customHeight="1">
      <c r="A20" s="533" t="s">
        <v>60</v>
      </c>
      <c r="B20" s="747" t="s">
        <v>259</v>
      </c>
      <c r="C20" s="1105">
        <v>391898</v>
      </c>
      <c r="D20" s="1105"/>
      <c r="E20" s="1322">
        <v>388677</v>
      </c>
      <c r="F20" s="1105">
        <v>-10372</v>
      </c>
      <c r="G20" s="1105">
        <f>E20+F20</f>
        <v>378305</v>
      </c>
      <c r="H20" s="1105"/>
      <c r="I20" s="1105">
        <f t="shared" ref="I20:I41" si="8">G20+H20</f>
        <v>378305</v>
      </c>
      <c r="J20" s="1105"/>
      <c r="K20" s="1105">
        <f t="shared" ref="K20:K41" si="9">I20+J20</f>
        <v>378305</v>
      </c>
      <c r="L20" s="1676"/>
      <c r="M20" s="1496">
        <f>L20/K20</f>
        <v>0</v>
      </c>
      <c r="N20" s="1105">
        <v>378305</v>
      </c>
      <c r="O20" s="1106"/>
      <c r="P20" s="1107"/>
      <c r="Q20" s="981">
        <f t="shared" ref="Q20:Q85" si="10">N20+O20+P20</f>
        <v>378305</v>
      </c>
    </row>
    <row r="21" spans="1:17" s="356" customFormat="1" ht="60.75" customHeight="1">
      <c r="A21" s="538" t="s">
        <v>61</v>
      </c>
      <c r="B21" s="748" t="s">
        <v>940</v>
      </c>
      <c r="C21" s="1108">
        <v>105812</v>
      </c>
      <c r="D21" s="1108"/>
      <c r="E21" s="1266">
        <f>C21+D21</f>
        <v>105812</v>
      </c>
      <c r="F21" s="1108"/>
      <c r="G21" s="1105">
        <f>E21+F21</f>
        <v>105812</v>
      </c>
      <c r="H21" s="1105"/>
      <c r="I21" s="1105">
        <f t="shared" si="8"/>
        <v>105812</v>
      </c>
      <c r="J21" s="1105"/>
      <c r="K21" s="1105">
        <f t="shared" si="9"/>
        <v>105812</v>
      </c>
      <c r="L21" s="1676"/>
      <c r="M21" s="1496">
        <f t="shared" ref="M21:M42" si="11">L21/K21</f>
        <v>0</v>
      </c>
      <c r="N21" s="1108">
        <v>105812</v>
      </c>
      <c r="O21" s="1109"/>
      <c r="P21" s="1110"/>
      <c r="Q21" s="981">
        <f t="shared" si="10"/>
        <v>105812</v>
      </c>
    </row>
    <row r="22" spans="1:17" s="356" customFormat="1" ht="26.1" customHeight="1">
      <c r="A22" s="538" t="s">
        <v>62</v>
      </c>
      <c r="B22" s="748" t="s">
        <v>474</v>
      </c>
      <c r="C22" s="1108">
        <v>66000</v>
      </c>
      <c r="D22" s="1108"/>
      <c r="E22" s="1266">
        <f>C22+D22</f>
        <v>66000</v>
      </c>
      <c r="F22" s="1108">
        <v>900</v>
      </c>
      <c r="G22" s="1105">
        <f>E22+F22</f>
        <v>66900</v>
      </c>
      <c r="H22" s="1105"/>
      <c r="I22" s="1105">
        <f t="shared" si="8"/>
        <v>66900</v>
      </c>
      <c r="J22" s="1105"/>
      <c r="K22" s="1105">
        <f t="shared" si="9"/>
        <v>66900</v>
      </c>
      <c r="L22" s="1676">
        <v>66900</v>
      </c>
      <c r="M22" s="1496">
        <f t="shared" si="11"/>
        <v>1</v>
      </c>
      <c r="N22" s="1108">
        <v>66900</v>
      </c>
      <c r="O22" s="1109"/>
      <c r="P22" s="1110"/>
      <c r="Q22" s="981">
        <f t="shared" si="10"/>
        <v>66900</v>
      </c>
    </row>
    <row r="23" spans="1:17" s="356" customFormat="1" ht="33.950000000000003" customHeight="1">
      <c r="A23" s="538" t="s">
        <v>63</v>
      </c>
      <c r="B23" s="748" t="s">
        <v>475</v>
      </c>
      <c r="C23" s="1108">
        <f t="shared" ref="C23:E23" si="12">C22*0.27</f>
        <v>17820</v>
      </c>
      <c r="D23" s="1108">
        <f t="shared" si="12"/>
        <v>0</v>
      </c>
      <c r="E23" s="1266">
        <f t="shared" si="12"/>
        <v>17820</v>
      </c>
      <c r="F23" s="1108">
        <v>0</v>
      </c>
      <c r="G23" s="1108">
        <v>17820</v>
      </c>
      <c r="H23" s="1108"/>
      <c r="I23" s="1108">
        <f t="shared" si="8"/>
        <v>17820</v>
      </c>
      <c r="J23" s="1108"/>
      <c r="K23" s="1105">
        <f t="shared" si="9"/>
        <v>17820</v>
      </c>
      <c r="L23" s="1692">
        <v>17820</v>
      </c>
      <c r="M23" s="1496">
        <f t="shared" si="11"/>
        <v>1</v>
      </c>
      <c r="N23" s="1108">
        <v>17820</v>
      </c>
      <c r="O23" s="1109"/>
      <c r="P23" s="1110"/>
      <c r="Q23" s="981">
        <f t="shared" si="10"/>
        <v>17820</v>
      </c>
    </row>
    <row r="24" spans="1:17" s="356" customFormat="1" ht="33.950000000000003" customHeight="1">
      <c r="A24" s="538" t="s">
        <v>64</v>
      </c>
      <c r="B24" s="748" t="s">
        <v>122</v>
      </c>
      <c r="C24" s="1108">
        <v>25208</v>
      </c>
      <c r="D24" s="1108"/>
      <c r="E24" s="1266">
        <v>25058</v>
      </c>
      <c r="F24" s="1108"/>
      <c r="G24" s="1108">
        <f>E24+F24</f>
        <v>25058</v>
      </c>
      <c r="H24" s="1108"/>
      <c r="I24" s="1108">
        <f t="shared" si="8"/>
        <v>25058</v>
      </c>
      <c r="J24" s="1108"/>
      <c r="K24" s="1105">
        <f t="shared" si="9"/>
        <v>25058</v>
      </c>
      <c r="L24" s="1676">
        <v>22543</v>
      </c>
      <c r="M24" s="1496">
        <f t="shared" si="11"/>
        <v>0.89963285178386143</v>
      </c>
      <c r="N24" s="1108">
        <v>0</v>
      </c>
      <c r="O24" s="1108">
        <v>25058</v>
      </c>
      <c r="P24" s="1110"/>
      <c r="Q24" s="981">
        <f t="shared" si="10"/>
        <v>25058</v>
      </c>
    </row>
    <row r="25" spans="1:17" s="356" customFormat="1" ht="22.5" customHeight="1">
      <c r="A25" s="538" t="s">
        <v>65</v>
      </c>
      <c r="B25" s="748" t="s">
        <v>252</v>
      </c>
      <c r="C25" s="1108">
        <v>9000</v>
      </c>
      <c r="D25" s="1108"/>
      <c r="E25" s="1266">
        <f t="shared" ref="E25:E30" si="13">C25+D25</f>
        <v>9000</v>
      </c>
      <c r="F25" s="1108"/>
      <c r="G25" s="1108">
        <f t="shared" ref="G25:G30" si="14">E25+F25</f>
        <v>9000</v>
      </c>
      <c r="H25" s="1108"/>
      <c r="I25" s="1108">
        <f t="shared" si="8"/>
        <v>9000</v>
      </c>
      <c r="J25" s="1108"/>
      <c r="K25" s="1105">
        <f t="shared" si="9"/>
        <v>9000</v>
      </c>
      <c r="L25" s="1676">
        <v>0</v>
      </c>
      <c r="M25" s="1496">
        <f t="shared" si="11"/>
        <v>0</v>
      </c>
      <c r="N25" s="1108">
        <v>9000</v>
      </c>
      <c r="O25" s="1109"/>
      <c r="P25" s="1110"/>
      <c r="Q25" s="981">
        <f t="shared" si="10"/>
        <v>9000</v>
      </c>
    </row>
    <row r="26" spans="1:17" s="356" customFormat="1" ht="22.5" customHeight="1">
      <c r="A26" s="538" t="s">
        <v>66</v>
      </c>
      <c r="B26" s="748" t="s">
        <v>467</v>
      </c>
      <c r="C26" s="1108">
        <v>7000</v>
      </c>
      <c r="D26" s="1108"/>
      <c r="E26" s="1266">
        <v>11000</v>
      </c>
      <c r="F26" s="1108"/>
      <c r="G26" s="1108">
        <f t="shared" si="14"/>
        <v>11000</v>
      </c>
      <c r="H26" s="1108">
        <v>-685</v>
      </c>
      <c r="I26" s="1108">
        <f t="shared" si="8"/>
        <v>10315</v>
      </c>
      <c r="J26" s="1108"/>
      <c r="K26" s="1105">
        <f t="shared" si="9"/>
        <v>10315</v>
      </c>
      <c r="L26" s="1676">
        <v>5500</v>
      </c>
      <c r="M26" s="1496">
        <f t="shared" si="11"/>
        <v>0.53320407174018425</v>
      </c>
      <c r="N26" s="1109"/>
      <c r="O26" s="1108">
        <v>10315</v>
      </c>
      <c r="P26" s="1110"/>
      <c r="Q26" s="981">
        <f t="shared" si="10"/>
        <v>10315</v>
      </c>
    </row>
    <row r="27" spans="1:17" s="356" customFormat="1" ht="22.5" customHeight="1">
      <c r="A27" s="538" t="s">
        <v>67</v>
      </c>
      <c r="B27" s="749" t="s">
        <v>802</v>
      </c>
      <c r="C27" s="1111">
        <f>300000-60000+146366</f>
        <v>386366</v>
      </c>
      <c r="D27" s="1111">
        <v>95231</v>
      </c>
      <c r="E27" s="1266">
        <v>386366</v>
      </c>
      <c r="F27" s="1108"/>
      <c r="G27" s="1266">
        <f t="shared" si="14"/>
        <v>386366</v>
      </c>
      <c r="H27" s="1266"/>
      <c r="I27" s="1266">
        <f t="shared" si="8"/>
        <v>386366</v>
      </c>
      <c r="J27" s="1266"/>
      <c r="K27" s="1105">
        <f t="shared" si="9"/>
        <v>386366</v>
      </c>
      <c r="L27" s="1676">
        <v>3495</v>
      </c>
      <c r="M27" s="1496">
        <f t="shared" si="11"/>
        <v>9.0458270137641506E-3</v>
      </c>
      <c r="N27" s="1271">
        <v>386366</v>
      </c>
      <c r="O27" s="1109"/>
      <c r="P27" s="1110"/>
      <c r="Q27" s="981">
        <f t="shared" si="10"/>
        <v>386366</v>
      </c>
    </row>
    <row r="28" spans="1:17" s="356" customFormat="1" ht="22.5" customHeight="1">
      <c r="A28" s="538" t="s">
        <v>68</v>
      </c>
      <c r="B28" s="749" t="s">
        <v>804</v>
      </c>
      <c r="C28" s="1111">
        <v>558000</v>
      </c>
      <c r="D28" s="1111"/>
      <c r="E28" s="1266">
        <v>653231</v>
      </c>
      <c r="F28" s="1108"/>
      <c r="G28" s="1266">
        <f t="shared" si="14"/>
        <v>653231</v>
      </c>
      <c r="H28" s="1266"/>
      <c r="I28" s="1266">
        <f t="shared" si="8"/>
        <v>653231</v>
      </c>
      <c r="J28" s="1266">
        <v>-60240</v>
      </c>
      <c r="K28" s="1105">
        <f t="shared" si="9"/>
        <v>592991</v>
      </c>
      <c r="L28" s="1676">
        <v>244603</v>
      </c>
      <c r="M28" s="1496">
        <f t="shared" si="11"/>
        <v>0.41249024015541552</v>
      </c>
      <c r="N28" s="1271">
        <v>592991</v>
      </c>
      <c r="O28" s="1109"/>
      <c r="P28" s="1110"/>
      <c r="Q28" s="981">
        <f t="shared" si="10"/>
        <v>592991</v>
      </c>
    </row>
    <row r="29" spans="1:17" s="356" customFormat="1" ht="22.5" customHeight="1">
      <c r="A29" s="538" t="s">
        <v>75</v>
      </c>
      <c r="B29" s="750" t="s">
        <v>803</v>
      </c>
      <c r="C29" s="1111">
        <v>160000</v>
      </c>
      <c r="D29" s="1111"/>
      <c r="E29" s="1266">
        <f t="shared" si="13"/>
        <v>160000</v>
      </c>
      <c r="F29" s="1108"/>
      <c r="G29" s="1266">
        <f t="shared" si="14"/>
        <v>160000</v>
      </c>
      <c r="H29" s="1266"/>
      <c r="I29" s="1266">
        <f t="shared" si="8"/>
        <v>160000</v>
      </c>
      <c r="J29" s="1266"/>
      <c r="K29" s="1105">
        <f t="shared" si="9"/>
        <v>160000</v>
      </c>
      <c r="L29" s="1105">
        <v>0</v>
      </c>
      <c r="M29" s="1496">
        <f t="shared" si="11"/>
        <v>0</v>
      </c>
      <c r="N29" s="1271">
        <v>160000</v>
      </c>
      <c r="O29" s="1109"/>
      <c r="P29" s="1110"/>
      <c r="Q29" s="981">
        <f t="shared" si="10"/>
        <v>160000</v>
      </c>
    </row>
    <row r="30" spans="1:17" s="356" customFormat="1" ht="22.5" customHeight="1">
      <c r="A30" s="538" t="s">
        <v>193</v>
      </c>
      <c r="B30" s="749" t="s">
        <v>256</v>
      </c>
      <c r="C30" s="1108">
        <v>0</v>
      </c>
      <c r="D30" s="1108"/>
      <c r="E30" s="1266">
        <f t="shared" si="13"/>
        <v>0</v>
      </c>
      <c r="F30" s="1108"/>
      <c r="G30" s="1266">
        <f t="shared" si="14"/>
        <v>0</v>
      </c>
      <c r="H30" s="1266">
        <v>189</v>
      </c>
      <c r="I30" s="1266">
        <f t="shared" si="8"/>
        <v>189</v>
      </c>
      <c r="J30" s="1266"/>
      <c r="K30" s="1105">
        <f t="shared" si="9"/>
        <v>189</v>
      </c>
      <c r="L30" s="1105"/>
      <c r="M30" s="1496">
        <f t="shared" si="11"/>
        <v>0</v>
      </c>
      <c r="N30" s="1266">
        <v>189</v>
      </c>
      <c r="O30" s="1109"/>
      <c r="P30" s="1110"/>
      <c r="Q30" s="981">
        <f t="shared" si="10"/>
        <v>189</v>
      </c>
    </row>
    <row r="31" spans="1:17" s="356" customFormat="1" ht="22.5" customHeight="1">
      <c r="A31" s="538" t="s">
        <v>888</v>
      </c>
      <c r="B31" s="749" t="s">
        <v>889</v>
      </c>
      <c r="C31" s="1108"/>
      <c r="D31" s="1108"/>
      <c r="E31" s="1266">
        <v>7900</v>
      </c>
      <c r="F31" s="1270"/>
      <c r="G31" s="1266">
        <f t="shared" ref="G31:G39" si="15">E31+F31</f>
        <v>7900</v>
      </c>
      <c r="H31" s="1266"/>
      <c r="I31" s="1266">
        <f t="shared" si="8"/>
        <v>7900</v>
      </c>
      <c r="J31" s="1266">
        <v>2003</v>
      </c>
      <c r="K31" s="1105">
        <f t="shared" si="9"/>
        <v>9903</v>
      </c>
      <c r="L31" s="1676">
        <v>9903</v>
      </c>
      <c r="M31" s="1496">
        <f t="shared" si="11"/>
        <v>1</v>
      </c>
      <c r="N31" s="1266">
        <v>9903</v>
      </c>
      <c r="O31" s="1109"/>
      <c r="P31" s="1110"/>
      <c r="Q31" s="981">
        <f t="shared" si="10"/>
        <v>9903</v>
      </c>
    </row>
    <row r="32" spans="1:17" s="356" customFormat="1" ht="22.5" customHeight="1">
      <c r="A32" s="1248" t="s">
        <v>890</v>
      </c>
      <c r="B32" s="749" t="s">
        <v>891</v>
      </c>
      <c r="C32" s="1108"/>
      <c r="D32" s="1108"/>
      <c r="E32" s="1266">
        <v>4000</v>
      </c>
      <c r="F32" s="1270"/>
      <c r="G32" s="1266">
        <f t="shared" si="15"/>
        <v>4000</v>
      </c>
      <c r="H32" s="1266"/>
      <c r="I32" s="1266">
        <f t="shared" si="8"/>
        <v>4000</v>
      </c>
      <c r="J32" s="1266"/>
      <c r="K32" s="1105">
        <f t="shared" si="9"/>
        <v>4000</v>
      </c>
      <c r="L32" s="1676">
        <f>639+509</f>
        <v>1148</v>
      </c>
      <c r="M32" s="1496">
        <f t="shared" si="11"/>
        <v>0.28699999999999998</v>
      </c>
      <c r="N32" s="1266">
        <v>4000</v>
      </c>
      <c r="O32" s="1109"/>
      <c r="P32" s="1110"/>
      <c r="Q32" s="981">
        <f t="shared" si="10"/>
        <v>4000</v>
      </c>
    </row>
    <row r="33" spans="1:17" s="356" customFormat="1" ht="22.5" customHeight="1">
      <c r="A33" s="538" t="s">
        <v>888</v>
      </c>
      <c r="B33" s="749" t="s">
        <v>897</v>
      </c>
      <c r="C33" s="1259"/>
      <c r="D33" s="1259"/>
      <c r="E33" s="1266">
        <v>760</v>
      </c>
      <c r="F33" s="1270">
        <v>3600</v>
      </c>
      <c r="G33" s="1267">
        <f t="shared" si="15"/>
        <v>4360</v>
      </c>
      <c r="H33" s="1267"/>
      <c r="I33" s="1267">
        <f t="shared" si="8"/>
        <v>4360</v>
      </c>
      <c r="J33" s="1267"/>
      <c r="K33" s="1105">
        <f t="shared" si="9"/>
        <v>4360</v>
      </c>
      <c r="L33" s="1676">
        <v>1174</v>
      </c>
      <c r="M33" s="1496">
        <f t="shared" si="11"/>
        <v>0.26926605504587153</v>
      </c>
      <c r="N33" s="1267">
        <v>4360</v>
      </c>
      <c r="O33" s="1260"/>
      <c r="P33" s="1261"/>
      <c r="Q33" s="981"/>
    </row>
    <row r="34" spans="1:17" s="356" customFormat="1" ht="22.5" customHeight="1">
      <c r="A34" s="1248" t="s">
        <v>890</v>
      </c>
      <c r="B34" s="749" t="s">
        <v>902</v>
      </c>
      <c r="C34" s="1108"/>
      <c r="D34" s="1108"/>
      <c r="E34" s="1266">
        <v>1539</v>
      </c>
      <c r="F34" s="1270"/>
      <c r="G34" s="1266">
        <f t="shared" si="15"/>
        <v>1539</v>
      </c>
      <c r="H34" s="1266"/>
      <c r="I34" s="1266">
        <f t="shared" si="8"/>
        <v>1539</v>
      </c>
      <c r="J34" s="1266"/>
      <c r="K34" s="1105">
        <f t="shared" si="9"/>
        <v>1539</v>
      </c>
      <c r="L34" s="1676">
        <v>1539</v>
      </c>
      <c r="M34" s="1496">
        <f t="shared" si="11"/>
        <v>1</v>
      </c>
      <c r="N34" s="1266"/>
      <c r="O34" s="1109">
        <v>1539</v>
      </c>
      <c r="P34" s="1110"/>
      <c r="Q34" s="981"/>
    </row>
    <row r="35" spans="1:17" s="356" customFormat="1" ht="22.5" customHeight="1">
      <c r="A35" s="538" t="s">
        <v>901</v>
      </c>
      <c r="B35" s="748" t="s">
        <v>256</v>
      </c>
      <c r="C35" s="1259">
        <v>0</v>
      </c>
      <c r="D35" s="1259"/>
      <c r="E35" s="1266">
        <v>3200</v>
      </c>
      <c r="F35" s="1270"/>
      <c r="G35" s="1267">
        <f t="shared" si="15"/>
        <v>3200</v>
      </c>
      <c r="H35" s="1272"/>
      <c r="I35" s="1272">
        <f t="shared" si="8"/>
        <v>3200</v>
      </c>
      <c r="J35" s="1272"/>
      <c r="K35" s="1105">
        <f t="shared" si="9"/>
        <v>3200</v>
      </c>
      <c r="L35" s="1486">
        <v>3389</v>
      </c>
      <c r="M35" s="1496">
        <f t="shared" si="11"/>
        <v>1.0590625</v>
      </c>
      <c r="N35" s="1272">
        <v>3200</v>
      </c>
      <c r="O35" s="847">
        <v>0</v>
      </c>
      <c r="P35" s="1265"/>
      <c r="Q35" s="981">
        <f>F35+G35+N35</f>
        <v>6400</v>
      </c>
    </row>
    <row r="36" spans="1:17" s="356" customFormat="1" ht="22.5" customHeight="1">
      <c r="A36" s="1248" t="s">
        <v>903</v>
      </c>
      <c r="B36" s="748" t="s">
        <v>904</v>
      </c>
      <c r="C36" s="1259"/>
      <c r="D36" s="1259"/>
      <c r="E36" s="1266">
        <v>3000</v>
      </c>
      <c r="F36" s="1270"/>
      <c r="G36" s="1267">
        <f t="shared" si="15"/>
        <v>3000</v>
      </c>
      <c r="H36" s="1272"/>
      <c r="I36" s="1272">
        <f t="shared" si="8"/>
        <v>3000</v>
      </c>
      <c r="J36" s="1272">
        <v>5260</v>
      </c>
      <c r="K36" s="1105">
        <f t="shared" si="9"/>
        <v>8260</v>
      </c>
      <c r="L36" s="1691">
        <v>8255</v>
      </c>
      <c r="M36" s="1496">
        <f t="shared" si="11"/>
        <v>0.99939467312348673</v>
      </c>
      <c r="N36" s="1272">
        <v>8260</v>
      </c>
      <c r="O36" s="847"/>
      <c r="P36" s="1265"/>
      <c r="Q36" s="981"/>
    </row>
    <row r="37" spans="1:17" s="356" customFormat="1" ht="22.5" customHeight="1">
      <c r="A37" s="538" t="s">
        <v>905</v>
      </c>
      <c r="B37" s="1268" t="s">
        <v>906</v>
      </c>
      <c r="C37" s="1259"/>
      <c r="D37" s="1259"/>
      <c r="E37" s="1266">
        <v>3500</v>
      </c>
      <c r="F37" s="1270"/>
      <c r="G37" s="1267">
        <f t="shared" si="15"/>
        <v>3500</v>
      </c>
      <c r="H37" s="1272"/>
      <c r="I37" s="1272">
        <f t="shared" si="8"/>
        <v>3500</v>
      </c>
      <c r="J37" s="1272">
        <v>-429</v>
      </c>
      <c r="K37" s="1105">
        <f t="shared" si="9"/>
        <v>3071</v>
      </c>
      <c r="L37" s="1691">
        <v>3071</v>
      </c>
      <c r="M37" s="1496">
        <f t="shared" si="11"/>
        <v>1</v>
      </c>
      <c r="N37" s="1272">
        <v>3071</v>
      </c>
      <c r="O37" s="847"/>
      <c r="P37" s="1265"/>
      <c r="Q37" s="981"/>
    </row>
    <row r="38" spans="1:17" s="356" customFormat="1" ht="22.5" customHeight="1">
      <c r="A38" s="538" t="s">
        <v>907</v>
      </c>
      <c r="B38" s="749" t="s">
        <v>908</v>
      </c>
      <c r="C38" s="1259"/>
      <c r="D38" s="1259"/>
      <c r="E38" s="1266">
        <v>1000</v>
      </c>
      <c r="F38" s="1270"/>
      <c r="G38" s="1267">
        <f t="shared" si="15"/>
        <v>1000</v>
      </c>
      <c r="H38" s="1272"/>
      <c r="I38" s="1272">
        <f t="shared" si="8"/>
        <v>1000</v>
      </c>
      <c r="J38" s="1272">
        <v>-171</v>
      </c>
      <c r="K38" s="1105">
        <f t="shared" si="9"/>
        <v>829</v>
      </c>
      <c r="L38" s="1691">
        <v>829</v>
      </c>
      <c r="M38" s="1496">
        <f t="shared" si="11"/>
        <v>1</v>
      </c>
      <c r="N38" s="1272">
        <v>829</v>
      </c>
      <c r="O38" s="847"/>
      <c r="P38" s="1265"/>
      <c r="Q38" s="981"/>
    </row>
    <row r="39" spans="1:17" s="356" customFormat="1" ht="22.5" customHeight="1">
      <c r="A39" s="538" t="s">
        <v>910</v>
      </c>
      <c r="B39" s="749" t="s">
        <v>909</v>
      </c>
      <c r="C39" s="1259"/>
      <c r="D39" s="1259"/>
      <c r="E39" s="1266">
        <v>2912</v>
      </c>
      <c r="F39" s="1270">
        <v>15000</v>
      </c>
      <c r="G39" s="1267">
        <f t="shared" si="15"/>
        <v>17912</v>
      </c>
      <c r="H39" s="1267"/>
      <c r="I39" s="1267">
        <f t="shared" si="8"/>
        <v>17912</v>
      </c>
      <c r="J39" s="1267"/>
      <c r="K39" s="1105">
        <f t="shared" si="9"/>
        <v>17912</v>
      </c>
      <c r="L39" s="1676">
        <v>17885</v>
      </c>
      <c r="M39" s="1496">
        <f t="shared" si="11"/>
        <v>0.99849263063867799</v>
      </c>
      <c r="N39" s="847"/>
      <c r="O39" s="1267">
        <v>17912</v>
      </c>
      <c r="P39" s="1265"/>
      <c r="Q39" s="981"/>
    </row>
    <row r="40" spans="1:17" s="356" customFormat="1" ht="22.5" customHeight="1">
      <c r="A40" s="538" t="s">
        <v>920</v>
      </c>
      <c r="B40" s="749" t="s">
        <v>921</v>
      </c>
      <c r="C40" s="1259"/>
      <c r="D40" s="1259"/>
      <c r="E40" s="1259"/>
      <c r="F40" s="1270">
        <v>675</v>
      </c>
      <c r="G40" s="1267">
        <v>675</v>
      </c>
      <c r="H40" s="1267"/>
      <c r="I40" s="1267">
        <f t="shared" si="8"/>
        <v>675</v>
      </c>
      <c r="J40" s="1267"/>
      <c r="K40" s="1105">
        <f t="shared" si="9"/>
        <v>675</v>
      </c>
      <c r="L40" s="1676">
        <v>675</v>
      </c>
      <c r="M40" s="1496">
        <f t="shared" si="11"/>
        <v>1</v>
      </c>
      <c r="N40" s="847"/>
      <c r="O40" s="1267">
        <v>675</v>
      </c>
      <c r="P40" s="1265"/>
      <c r="Q40" s="981"/>
    </row>
    <row r="41" spans="1:17" s="356" customFormat="1" ht="22.5" customHeight="1">
      <c r="A41" s="538" t="s">
        <v>922</v>
      </c>
      <c r="B41" s="749" t="s">
        <v>923</v>
      </c>
      <c r="C41" s="1259"/>
      <c r="D41" s="1259"/>
      <c r="E41" s="1259"/>
      <c r="F41" s="1270">
        <v>1620</v>
      </c>
      <c r="G41" s="1267">
        <v>1620</v>
      </c>
      <c r="H41" s="1267"/>
      <c r="I41" s="1267">
        <f t="shared" si="8"/>
        <v>1620</v>
      </c>
      <c r="J41" s="1267"/>
      <c r="K41" s="1105">
        <f t="shared" si="9"/>
        <v>1620</v>
      </c>
      <c r="L41" s="1676">
        <v>1620</v>
      </c>
      <c r="M41" s="1496">
        <f t="shared" si="11"/>
        <v>1</v>
      </c>
      <c r="N41" s="847"/>
      <c r="O41" s="1267">
        <v>1620</v>
      </c>
      <c r="P41" s="1265"/>
      <c r="Q41" s="981"/>
    </row>
    <row r="42" spans="1:17" s="108" customFormat="1" ht="26.25" customHeight="1">
      <c r="A42" s="1281"/>
      <c r="B42" s="604" t="s">
        <v>454</v>
      </c>
      <c r="C42" s="1254">
        <f>SUM(C20:C30)</f>
        <v>1727104</v>
      </c>
      <c r="D42" s="1254">
        <f>SUM(D20:D30)</f>
        <v>95231</v>
      </c>
      <c r="E42" s="1254">
        <f>SUM(E20:E39)</f>
        <v>1850775</v>
      </c>
      <c r="F42" s="1254">
        <f>SUM(F20:F41)</f>
        <v>11423</v>
      </c>
      <c r="G42" s="1254">
        <f>SUM(G20:G41)</f>
        <v>1862198</v>
      </c>
      <c r="H42" s="1254">
        <f>SUM(H22:H41)</f>
        <v>-496</v>
      </c>
      <c r="I42" s="1254">
        <f>SUM(I20:I41)</f>
        <v>1861702</v>
      </c>
      <c r="J42" s="1254">
        <f>SUM(J20:J41)</f>
        <v>-53577</v>
      </c>
      <c r="K42" s="1254">
        <f>SUM(K20:K41)</f>
        <v>1808125</v>
      </c>
      <c r="L42" s="1254">
        <f>SUM(L20:L41)</f>
        <v>410349</v>
      </c>
      <c r="M42" s="1497">
        <f t="shared" si="11"/>
        <v>0.22694725198755616</v>
      </c>
      <c r="N42" s="1254">
        <f>SUM(N20:N41)</f>
        <v>1751006</v>
      </c>
      <c r="O42" s="1254">
        <f>SUM(O20:O41)</f>
        <v>57119</v>
      </c>
      <c r="P42" s="1283">
        <f>SUM(P20:P30)</f>
        <v>0</v>
      </c>
      <c r="Q42" s="1491">
        <f t="shared" si="10"/>
        <v>1808125</v>
      </c>
    </row>
    <row r="43" spans="1:17" s="356" customFormat="1" ht="28.35" customHeight="1">
      <c r="A43" s="1269"/>
      <c r="B43" s="1250" t="s">
        <v>360</v>
      </c>
      <c r="C43" s="1251"/>
      <c r="D43" s="1251"/>
      <c r="E43" s="1251"/>
      <c r="F43" s="1251"/>
      <c r="G43" s="1251"/>
      <c r="H43" s="1251"/>
      <c r="I43" s="1251"/>
      <c r="J43" s="1251"/>
      <c r="K43" s="1251"/>
      <c r="L43" s="1251"/>
      <c r="M43" s="1251"/>
      <c r="N43" s="1252"/>
      <c r="O43" s="1251"/>
      <c r="P43" s="1253"/>
      <c r="Q43" s="981"/>
    </row>
    <row r="44" spans="1:17" s="356" customFormat="1" ht="37.5" customHeight="1">
      <c r="A44" s="538" t="s">
        <v>60</v>
      </c>
      <c r="B44" s="749" t="s">
        <v>941</v>
      </c>
      <c r="C44" s="1112">
        <v>4000</v>
      </c>
      <c r="D44" s="1112">
        <v>2884</v>
      </c>
      <c r="E44" s="1112">
        <v>5884</v>
      </c>
      <c r="F44" s="1112">
        <v>-1000</v>
      </c>
      <c r="G44" s="1112">
        <f>E44+F44</f>
        <v>4884</v>
      </c>
      <c r="H44" s="1112">
        <v>-1000</v>
      </c>
      <c r="I44" s="1112">
        <f>G44+H44</f>
        <v>3884</v>
      </c>
      <c r="J44" s="1112">
        <v>1540</v>
      </c>
      <c r="K44" s="1112">
        <f t="shared" ref="K44:K52" si="16">I44+J44</f>
        <v>5424</v>
      </c>
      <c r="L44" s="1626">
        <f>977+1564+1851</f>
        <v>4392</v>
      </c>
      <c r="M44" s="1498">
        <f>L44/K44</f>
        <v>0.80973451327433632</v>
      </c>
      <c r="N44" s="1109">
        <v>3424</v>
      </c>
      <c r="O44" s="1112">
        <v>2000</v>
      </c>
      <c r="P44" s="1110"/>
      <c r="Q44" s="981">
        <f t="shared" si="10"/>
        <v>5424</v>
      </c>
    </row>
    <row r="45" spans="1:17" s="356" customFormat="1" ht="33.950000000000003" customHeight="1">
      <c r="A45" s="538" t="s">
        <v>61</v>
      </c>
      <c r="B45" s="749" t="s">
        <v>356</v>
      </c>
      <c r="C45" s="1112">
        <v>2000</v>
      </c>
      <c r="D45" s="1112">
        <v>2295</v>
      </c>
      <c r="E45" s="1112">
        <f>C45+D45</f>
        <v>4295</v>
      </c>
      <c r="F45" s="1112"/>
      <c r="G45" s="1112">
        <f>E45+F45</f>
        <v>4295</v>
      </c>
      <c r="H45" s="1112"/>
      <c r="I45" s="1112">
        <f>G45+H45</f>
        <v>4295</v>
      </c>
      <c r="J45" s="1112">
        <f>-370-1590</f>
        <v>-1960</v>
      </c>
      <c r="K45" s="1112">
        <f t="shared" si="16"/>
        <v>2335</v>
      </c>
      <c r="L45" s="1112">
        <v>207</v>
      </c>
      <c r="M45" s="1498">
        <f t="shared" ref="M45:M53" si="17">L45/K45</f>
        <v>8.865096359743041E-2</v>
      </c>
      <c r="N45" s="1109">
        <v>335</v>
      </c>
      <c r="O45" s="1112">
        <v>2000</v>
      </c>
      <c r="P45" s="1110"/>
      <c r="Q45" s="981">
        <f t="shared" si="10"/>
        <v>2335</v>
      </c>
    </row>
    <row r="46" spans="1:17" s="356" customFormat="1" ht="22.5" customHeight="1">
      <c r="A46" s="538" t="s">
        <v>62</v>
      </c>
      <c r="B46" s="749" t="s">
        <v>831</v>
      </c>
      <c r="C46" s="1112"/>
      <c r="D46" s="1112">
        <v>1000</v>
      </c>
      <c r="E46" s="1112">
        <f>D46</f>
        <v>1000</v>
      </c>
      <c r="F46" s="1112">
        <v>1000</v>
      </c>
      <c r="G46" s="1112">
        <f>E46+F46</f>
        <v>2000</v>
      </c>
      <c r="H46" s="1112"/>
      <c r="I46" s="1112">
        <f>G46+H46</f>
        <v>2000</v>
      </c>
      <c r="J46" s="1112"/>
      <c r="K46" s="1112">
        <f t="shared" si="16"/>
        <v>2000</v>
      </c>
      <c r="L46" s="1112">
        <f>1186+67</f>
        <v>1253</v>
      </c>
      <c r="M46" s="1498">
        <f t="shared" si="17"/>
        <v>0.62649999999999995</v>
      </c>
      <c r="N46" s="1109">
        <v>2000</v>
      </c>
      <c r="O46" s="1112"/>
      <c r="P46" s="1110"/>
      <c r="Q46" s="981"/>
    </row>
    <row r="47" spans="1:17" s="356" customFormat="1" ht="22.5" customHeight="1">
      <c r="A47" s="538" t="s">
        <v>63</v>
      </c>
      <c r="B47" s="749" t="s">
        <v>873</v>
      </c>
      <c r="C47" s="1112"/>
      <c r="D47" s="1112"/>
      <c r="E47" s="1112">
        <v>1000</v>
      </c>
      <c r="F47" s="1112"/>
      <c r="G47" s="1112">
        <v>1000</v>
      </c>
      <c r="H47" s="1112"/>
      <c r="I47" s="1112">
        <f>G47+H47</f>
        <v>1000</v>
      </c>
      <c r="J47" s="1112">
        <v>50</v>
      </c>
      <c r="K47" s="1112">
        <f t="shared" si="16"/>
        <v>1050</v>
      </c>
      <c r="L47" s="1112">
        <v>149</v>
      </c>
      <c r="M47" s="1498">
        <f t="shared" si="17"/>
        <v>0.14190476190476189</v>
      </c>
      <c r="N47" s="1109">
        <v>1050</v>
      </c>
      <c r="O47" s="1112"/>
      <c r="P47" s="1110"/>
      <c r="Q47" s="981"/>
    </row>
    <row r="48" spans="1:17" s="356" customFormat="1" ht="22.5" customHeight="1">
      <c r="A48" s="538" t="s">
        <v>64</v>
      </c>
      <c r="B48" s="749" t="s">
        <v>928</v>
      </c>
      <c r="C48" s="1112"/>
      <c r="D48" s="1112"/>
      <c r="E48" s="1112"/>
      <c r="F48" s="1112"/>
      <c r="G48" s="1112"/>
      <c r="H48" s="1112">
        <v>800</v>
      </c>
      <c r="I48" s="1112">
        <v>800</v>
      </c>
      <c r="J48" s="1112">
        <v>370</v>
      </c>
      <c r="K48" s="1112">
        <f t="shared" si="16"/>
        <v>1170</v>
      </c>
      <c r="L48" s="1112">
        <v>971</v>
      </c>
      <c r="M48" s="1498">
        <f t="shared" si="17"/>
        <v>0.82991452991452996</v>
      </c>
      <c r="N48" s="1109">
        <v>1170</v>
      </c>
      <c r="O48" s="1112"/>
      <c r="P48" s="1110"/>
      <c r="Q48" s="981"/>
    </row>
    <row r="49" spans="1:17" s="356" customFormat="1" ht="22.5" customHeight="1">
      <c r="A49" s="538" t="s">
        <v>65</v>
      </c>
      <c r="B49" s="749" t="s">
        <v>929</v>
      </c>
      <c r="C49" s="1112"/>
      <c r="D49" s="1112"/>
      <c r="E49" s="1112"/>
      <c r="F49" s="1112"/>
      <c r="G49" s="1112"/>
      <c r="H49" s="1112">
        <v>200</v>
      </c>
      <c r="I49" s="1112">
        <v>200</v>
      </c>
      <c r="J49" s="1112"/>
      <c r="K49" s="1112">
        <f t="shared" si="16"/>
        <v>200</v>
      </c>
      <c r="L49" s="1112">
        <v>262</v>
      </c>
      <c r="M49" s="1498">
        <f t="shared" si="17"/>
        <v>1.31</v>
      </c>
      <c r="N49" s="1109">
        <v>200</v>
      </c>
      <c r="O49" s="1112"/>
      <c r="P49" s="1110"/>
      <c r="Q49" s="981"/>
    </row>
    <row r="50" spans="1:17" s="356" customFormat="1" ht="22.5" customHeight="1">
      <c r="A50" s="538" t="s">
        <v>66</v>
      </c>
      <c r="B50" s="749" t="s">
        <v>930</v>
      </c>
      <c r="C50" s="1112"/>
      <c r="D50" s="1112"/>
      <c r="E50" s="1112"/>
      <c r="F50" s="1112"/>
      <c r="G50" s="1112"/>
      <c r="H50" s="1112">
        <v>2400</v>
      </c>
      <c r="I50" s="1112">
        <v>2400</v>
      </c>
      <c r="J50" s="1112"/>
      <c r="K50" s="1112">
        <f t="shared" si="16"/>
        <v>2400</v>
      </c>
      <c r="L50" s="1112">
        <v>2389</v>
      </c>
      <c r="M50" s="1498">
        <f t="shared" si="17"/>
        <v>0.99541666666666662</v>
      </c>
      <c r="N50" s="1109">
        <v>2400</v>
      </c>
      <c r="O50" s="1112"/>
      <c r="P50" s="1110"/>
      <c r="Q50" s="981"/>
    </row>
    <row r="51" spans="1:17" s="356" customFormat="1" ht="22.5" customHeight="1">
      <c r="A51" s="538" t="s">
        <v>67</v>
      </c>
      <c r="B51" s="749" t="s">
        <v>931</v>
      </c>
      <c r="C51" s="1112"/>
      <c r="D51" s="1112"/>
      <c r="E51" s="1112"/>
      <c r="F51" s="1112"/>
      <c r="G51" s="1112"/>
      <c r="H51" s="1112">
        <v>700</v>
      </c>
      <c r="I51" s="1112">
        <v>700</v>
      </c>
      <c r="J51" s="1112"/>
      <c r="K51" s="1112">
        <f t="shared" si="16"/>
        <v>700</v>
      </c>
      <c r="L51" s="1112">
        <v>645</v>
      </c>
      <c r="M51" s="1498">
        <f t="shared" si="17"/>
        <v>0.92142857142857137</v>
      </c>
      <c r="N51" s="1109">
        <v>700</v>
      </c>
      <c r="O51" s="1112"/>
      <c r="P51" s="1110"/>
      <c r="Q51" s="981"/>
    </row>
    <row r="52" spans="1:17" s="356" customFormat="1" ht="22.5" customHeight="1">
      <c r="A52" s="538" t="s">
        <v>68</v>
      </c>
      <c r="B52" s="749" t="s">
        <v>933</v>
      </c>
      <c r="C52" s="1112"/>
      <c r="D52" s="1112"/>
      <c r="E52" s="1112"/>
      <c r="F52" s="1112"/>
      <c r="G52" s="1112"/>
      <c r="H52" s="1112">
        <v>10160</v>
      </c>
      <c r="I52" s="1112">
        <v>10160</v>
      </c>
      <c r="J52" s="1112"/>
      <c r="K52" s="1112">
        <f t="shared" si="16"/>
        <v>10160</v>
      </c>
      <c r="L52" s="1112">
        <v>0</v>
      </c>
      <c r="M52" s="1498">
        <f t="shared" si="17"/>
        <v>0</v>
      </c>
      <c r="N52" s="1109"/>
      <c r="O52" s="1112">
        <v>10160</v>
      </c>
      <c r="P52" s="1110"/>
      <c r="Q52" s="981"/>
    </row>
    <row r="53" spans="1:17" s="108" customFormat="1" ht="22.5" customHeight="1">
      <c r="A53" s="1281"/>
      <c r="B53" s="604" t="s">
        <v>454</v>
      </c>
      <c r="C53" s="1113">
        <f t="shared" ref="C53:D53" si="18">SUM(C44:C46)</f>
        <v>6000</v>
      </c>
      <c r="D53" s="1113">
        <f t="shared" si="18"/>
        <v>6179</v>
      </c>
      <c r="E53" s="1113">
        <f>SUM(E44:E47)</f>
        <v>12179</v>
      </c>
      <c r="F53" s="1113">
        <f>SUM(F44:F47)</f>
        <v>0</v>
      </c>
      <c r="G53" s="1113">
        <f>SUM(G44:G47)</f>
        <v>12179</v>
      </c>
      <c r="H53" s="1113">
        <f>SUM(H44:H52)</f>
        <v>13260</v>
      </c>
      <c r="I53" s="1113">
        <f>SUM(I44:I52)</f>
        <v>25439</v>
      </c>
      <c r="J53" s="1113">
        <f>SUM(J44:J52)</f>
        <v>0</v>
      </c>
      <c r="K53" s="1113">
        <f>SUM(K44:K52)</f>
        <v>25439</v>
      </c>
      <c r="L53" s="1113">
        <f>SUM(L44:L52)</f>
        <v>10268</v>
      </c>
      <c r="M53" s="1499">
        <f t="shared" si="17"/>
        <v>0.40363221824757262</v>
      </c>
      <c r="N53" s="1113">
        <f>SUM(N44:N51)</f>
        <v>11279</v>
      </c>
      <c r="O53" s="1113">
        <f>SUM(O44:O52)</f>
        <v>14160</v>
      </c>
      <c r="P53" s="1284">
        <f>SUM(P44:P45)</f>
        <v>0</v>
      </c>
      <c r="Q53" s="1491">
        <f>N53+O53+P53</f>
        <v>25439</v>
      </c>
    </row>
    <row r="54" spans="1:17" s="108" customFormat="1" ht="29.25" customHeight="1" thickBot="1">
      <c r="A54" s="1493"/>
      <c r="B54" s="1059" t="s">
        <v>358</v>
      </c>
      <c r="C54" s="1114">
        <f>C5+C42+C53</f>
        <v>1733104</v>
      </c>
      <c r="D54" s="1114">
        <f t="shared" ref="D54:O54" si="19">D42+D53+D18</f>
        <v>133383</v>
      </c>
      <c r="E54" s="1114">
        <f t="shared" si="19"/>
        <v>1895163</v>
      </c>
      <c r="F54" s="1114">
        <f t="shared" si="19"/>
        <v>12349</v>
      </c>
      <c r="G54" s="1114">
        <f t="shared" si="19"/>
        <v>1907512</v>
      </c>
      <c r="H54" s="1114">
        <f>H18+H42+H53</f>
        <v>14370</v>
      </c>
      <c r="I54" s="1114">
        <f>I18+I42+I53</f>
        <v>1921882</v>
      </c>
      <c r="J54" s="1114">
        <f>J18+J42+J53</f>
        <v>-57365</v>
      </c>
      <c r="K54" s="1114">
        <f>K18+K42+K53</f>
        <v>1864812</v>
      </c>
      <c r="L54" s="1114">
        <f>L18+L42+L53</f>
        <v>445368</v>
      </c>
      <c r="M54" s="1500">
        <f>L54/K54</f>
        <v>0.23882729197366812</v>
      </c>
      <c r="N54" s="1114">
        <f t="shared" si="19"/>
        <v>1784158</v>
      </c>
      <c r="O54" s="1114">
        <f t="shared" si="19"/>
        <v>80359</v>
      </c>
      <c r="P54" s="1115">
        <f>P5+P42+P53</f>
        <v>0</v>
      </c>
      <c r="Q54" s="1491">
        <f t="shared" si="10"/>
        <v>1864517</v>
      </c>
    </row>
    <row r="55" spans="1:17" s="576" customFormat="1" ht="42.75" customHeight="1" thickBot="1">
      <c r="C55" s="577"/>
      <c r="D55" s="577"/>
      <c r="E55" s="577"/>
      <c r="F55" s="577"/>
      <c r="G55" s="577"/>
      <c r="H55" s="577"/>
      <c r="I55" s="577"/>
      <c r="J55" s="577"/>
      <c r="K55" s="577"/>
      <c r="L55" s="577"/>
      <c r="M55" s="577"/>
      <c r="Q55" s="746"/>
    </row>
    <row r="56" spans="1:17" s="356" customFormat="1" ht="43.5" customHeight="1" thickBot="1">
      <c r="A56" s="1898" t="s">
        <v>452</v>
      </c>
      <c r="B56" s="1900"/>
      <c r="C56" s="757" t="s">
        <v>142</v>
      </c>
      <c r="D56" s="525" t="s">
        <v>819</v>
      </c>
      <c r="E56" s="756" t="s">
        <v>820</v>
      </c>
      <c r="F56" s="756"/>
      <c r="G56" s="756"/>
      <c r="H56" s="756"/>
      <c r="I56" s="756"/>
      <c r="J56" s="756"/>
      <c r="K56" s="756"/>
      <c r="L56" s="756"/>
      <c r="M56" s="756"/>
      <c r="N56" s="526" t="s">
        <v>318</v>
      </c>
      <c r="O56" s="526" t="s">
        <v>319</v>
      </c>
      <c r="P56" s="527" t="s">
        <v>302</v>
      </c>
      <c r="Q56" s="746"/>
    </row>
    <row r="57" spans="1:17" s="356" customFormat="1" ht="28.15" customHeight="1" thickBot="1">
      <c r="A57" s="751"/>
      <c r="B57" s="982" t="s">
        <v>555</v>
      </c>
      <c r="C57" s="983">
        <v>0</v>
      </c>
      <c r="D57" s="983"/>
      <c r="E57" s="983"/>
      <c r="F57" s="983"/>
      <c r="G57" s="983"/>
      <c r="H57" s="983"/>
      <c r="I57" s="983"/>
      <c r="J57" s="983"/>
      <c r="K57" s="983"/>
      <c r="L57" s="983"/>
      <c r="M57" s="983"/>
      <c r="N57" s="983">
        <v>0</v>
      </c>
      <c r="O57" s="983">
        <v>0</v>
      </c>
      <c r="P57" s="984">
        <v>0</v>
      </c>
      <c r="Q57" s="981">
        <f t="shared" si="10"/>
        <v>0</v>
      </c>
    </row>
    <row r="58" spans="1:17" s="108" customFormat="1" ht="33" customHeight="1">
      <c r="A58" s="1095" t="s">
        <v>60</v>
      </c>
      <c r="B58" s="1057" t="s">
        <v>841</v>
      </c>
      <c r="C58" s="1097"/>
      <c r="D58" s="1098">
        <f>'7'!D11</f>
        <v>1000</v>
      </c>
      <c r="E58" s="1098">
        <f>C58+D58</f>
        <v>1000</v>
      </c>
      <c r="F58" s="1098">
        <f>'7'!F11</f>
        <v>0</v>
      </c>
      <c r="G58" s="1098">
        <f>'7'!G11</f>
        <v>1000</v>
      </c>
      <c r="H58" s="1098">
        <f>'7'!J11</f>
        <v>0</v>
      </c>
      <c r="I58" s="1098">
        <f>'7'!K11</f>
        <v>1000</v>
      </c>
      <c r="J58" s="1098">
        <f>'7'!L11</f>
        <v>-200</v>
      </c>
      <c r="K58" s="1098">
        <f>'7'!M11</f>
        <v>800</v>
      </c>
      <c r="L58" s="1098">
        <v>789</v>
      </c>
      <c r="M58" s="1494">
        <f>L58/K58</f>
        <v>0.98624999999999996</v>
      </c>
      <c r="N58" s="1098">
        <v>800</v>
      </c>
      <c r="O58" s="1099">
        <f>SUM(O57)</f>
        <v>0</v>
      </c>
      <c r="P58" s="1100">
        <f>SUM(P57)</f>
        <v>0</v>
      </c>
      <c r="Q58" s="981">
        <f>N58+O58+P58</f>
        <v>800</v>
      </c>
    </row>
    <row r="59" spans="1:17" s="108" customFormat="1" ht="33" customHeight="1">
      <c r="A59" s="1095" t="s">
        <v>61</v>
      </c>
      <c r="B59" s="749" t="s">
        <v>849</v>
      </c>
      <c r="C59" s="1097"/>
      <c r="D59" s="1098">
        <f>'7'!D24</f>
        <v>8460</v>
      </c>
      <c r="E59" s="1098">
        <f t="shared" ref="E59:E63" si="20">C59+D59</f>
        <v>8460</v>
      </c>
      <c r="F59" s="1098">
        <f>'7'!F24</f>
        <v>0</v>
      </c>
      <c r="G59" s="1098">
        <f>'7'!G24</f>
        <v>8460</v>
      </c>
      <c r="H59" s="1098">
        <f>'7'!J24</f>
        <v>0</v>
      </c>
      <c r="I59" s="1098">
        <f>'7'!K24</f>
        <v>8460</v>
      </c>
      <c r="J59" s="1098">
        <f>'7'!L24</f>
        <v>0</v>
      </c>
      <c r="K59" s="1098">
        <f>'7'!M24</f>
        <v>8460</v>
      </c>
      <c r="L59" s="1098">
        <v>7821</v>
      </c>
      <c r="M59" s="1494">
        <f t="shared" ref="M59:M69" si="21">L59/K59</f>
        <v>0.92446808510638301</v>
      </c>
      <c r="N59" s="1098">
        <v>8460</v>
      </c>
      <c r="O59" s="1099"/>
      <c r="P59" s="1100"/>
      <c r="Q59" s="981"/>
    </row>
    <row r="60" spans="1:17" s="108" customFormat="1" ht="33" customHeight="1">
      <c r="A60" s="1095" t="s">
        <v>62</v>
      </c>
      <c r="B60" s="1063" t="s">
        <v>853</v>
      </c>
      <c r="C60" s="1097"/>
      <c r="D60" s="1098">
        <f>'7'!D37</f>
        <v>2246</v>
      </c>
      <c r="E60" s="1098">
        <f t="shared" si="20"/>
        <v>2246</v>
      </c>
      <c r="F60" s="1098">
        <f>'7'!F37</f>
        <v>0</v>
      </c>
      <c r="G60" s="1098">
        <f>E60+F60</f>
        <v>2246</v>
      </c>
      <c r="H60" s="1098"/>
      <c r="I60" s="1098">
        <f>G60+H60</f>
        <v>2246</v>
      </c>
      <c r="J60" s="1098"/>
      <c r="K60" s="1098">
        <f>I60+J60</f>
        <v>2246</v>
      </c>
      <c r="L60" s="1098">
        <v>2246</v>
      </c>
      <c r="M60" s="1494">
        <f t="shared" si="21"/>
        <v>1</v>
      </c>
      <c r="N60" s="1098">
        <v>2246</v>
      </c>
      <c r="O60" s="1099"/>
      <c r="P60" s="1100"/>
      <c r="Q60" s="981"/>
    </row>
    <row r="61" spans="1:17" s="108" customFormat="1" ht="33" customHeight="1">
      <c r="A61" s="1095" t="s">
        <v>63</v>
      </c>
      <c r="B61" s="1063" t="s">
        <v>854</v>
      </c>
      <c r="C61" s="1097"/>
      <c r="D61" s="1098">
        <f>'7'!D50</f>
        <v>900</v>
      </c>
      <c r="E61" s="1098">
        <f t="shared" si="20"/>
        <v>900</v>
      </c>
      <c r="F61" s="1098">
        <f>'7'!F50</f>
        <v>0</v>
      </c>
      <c r="G61" s="1098">
        <f>E61+F61</f>
        <v>900</v>
      </c>
      <c r="H61" s="1098"/>
      <c r="I61" s="1098">
        <f>G61+H61</f>
        <v>900</v>
      </c>
      <c r="J61" s="1098"/>
      <c r="K61" s="1098">
        <f>I61+J61</f>
        <v>900</v>
      </c>
      <c r="L61" s="1098">
        <v>0</v>
      </c>
      <c r="M61" s="1494">
        <f t="shared" si="21"/>
        <v>0</v>
      </c>
      <c r="N61" s="1098">
        <v>900</v>
      </c>
      <c r="O61" s="1099"/>
      <c r="P61" s="1100"/>
      <c r="Q61" s="981"/>
    </row>
    <row r="62" spans="1:17" s="108" customFormat="1" ht="33" customHeight="1">
      <c r="A62" s="1095" t="s">
        <v>64</v>
      </c>
      <c r="B62" s="1063" t="s">
        <v>855</v>
      </c>
      <c r="C62" s="1097"/>
      <c r="D62" s="1098">
        <f>'7'!D63</f>
        <v>643</v>
      </c>
      <c r="E62" s="1098">
        <f t="shared" si="20"/>
        <v>643</v>
      </c>
      <c r="F62" s="1098">
        <f>'7'!F63</f>
        <v>0</v>
      </c>
      <c r="G62" s="1098">
        <f>E62+F62</f>
        <v>643</v>
      </c>
      <c r="H62" s="1098"/>
      <c r="I62" s="1098">
        <f>G62+H62</f>
        <v>643</v>
      </c>
      <c r="J62" s="1098"/>
      <c r="K62" s="1098">
        <f>I62+J62</f>
        <v>643</v>
      </c>
      <c r="L62" s="1098">
        <v>456</v>
      </c>
      <c r="M62" s="1494">
        <f t="shared" si="21"/>
        <v>0.70917573872472783</v>
      </c>
      <c r="N62" s="1098">
        <v>643</v>
      </c>
      <c r="O62" s="1099"/>
      <c r="P62" s="1100"/>
      <c r="Q62" s="981"/>
    </row>
    <row r="63" spans="1:17" s="108" customFormat="1" ht="33" customHeight="1">
      <c r="A63" s="1095" t="s">
        <v>65</v>
      </c>
      <c r="B63" s="1063" t="s">
        <v>856</v>
      </c>
      <c r="C63" s="1097"/>
      <c r="D63" s="1098">
        <f>'7'!D76</f>
        <v>400</v>
      </c>
      <c r="E63" s="1098">
        <f t="shared" si="20"/>
        <v>400</v>
      </c>
      <c r="F63" s="1098">
        <f>'7'!F76</f>
        <v>0</v>
      </c>
      <c r="G63" s="1098">
        <f>E63+F63</f>
        <v>400</v>
      </c>
      <c r="H63" s="1098"/>
      <c r="I63" s="1098">
        <f>G63+H63</f>
        <v>400</v>
      </c>
      <c r="J63" s="1098"/>
      <c r="K63" s="1098">
        <v>0</v>
      </c>
      <c r="L63" s="1098">
        <v>0</v>
      </c>
      <c r="M63" s="1494"/>
      <c r="N63" s="1098">
        <v>0</v>
      </c>
      <c r="O63" s="1099"/>
      <c r="P63" s="1100"/>
      <c r="Q63" s="981"/>
    </row>
    <row r="64" spans="1:17" s="108" customFormat="1" ht="33" customHeight="1">
      <c r="A64" s="1095" t="s">
        <v>66</v>
      </c>
      <c r="B64" s="1062" t="s">
        <v>448</v>
      </c>
      <c r="C64" s="1097"/>
      <c r="D64" s="1098">
        <f>SUM(D65:D70)</f>
        <v>12425</v>
      </c>
      <c r="E64" s="1098">
        <v>12209</v>
      </c>
      <c r="F64" s="1098">
        <f t="shared" ref="F64:K64" si="22">SUM(F65:F70)</f>
        <v>-126</v>
      </c>
      <c r="G64" s="1098">
        <f t="shared" si="22"/>
        <v>12083</v>
      </c>
      <c r="H64" s="1098">
        <f t="shared" si="22"/>
        <v>0</v>
      </c>
      <c r="I64" s="1098">
        <f t="shared" si="22"/>
        <v>12083</v>
      </c>
      <c r="J64" s="1098">
        <f t="shared" si="22"/>
        <v>0</v>
      </c>
      <c r="K64" s="1098">
        <f t="shared" si="22"/>
        <v>11655</v>
      </c>
      <c r="L64" s="1098">
        <f>SUM(L65:L70)</f>
        <v>5017</v>
      </c>
      <c r="M64" s="1494">
        <f t="shared" si="21"/>
        <v>0.43045903045903045</v>
      </c>
      <c r="N64" s="1098">
        <f>N65+N66+N67+N68+N69+N70</f>
        <v>8000</v>
      </c>
      <c r="O64" s="1098">
        <f>SUM(O65:O70)</f>
        <v>4083</v>
      </c>
      <c r="P64" s="1100"/>
      <c r="Q64" s="981"/>
    </row>
    <row r="65" spans="1:17" s="1209" customFormat="1" ht="33" customHeight="1">
      <c r="A65" s="1202"/>
      <c r="B65" s="1203" t="s">
        <v>851</v>
      </c>
      <c r="C65" s="1204"/>
      <c r="D65" s="1205">
        <f>'7'!D102</f>
        <v>0</v>
      </c>
      <c r="E65" s="1205">
        <f t="shared" ref="E65:E70" si="23">C65+D65</f>
        <v>0</v>
      </c>
      <c r="F65" s="1205"/>
      <c r="G65" s="1205">
        <f t="shared" ref="G65:G70" si="24">E65+F65</f>
        <v>0</v>
      </c>
      <c r="H65" s="1205"/>
      <c r="I65" s="1205">
        <f t="shared" ref="I65:I70" si="25">G65+H65</f>
        <v>0</v>
      </c>
      <c r="J65" s="1205"/>
      <c r="K65" s="1205">
        <f t="shared" ref="K65:K70" si="26">I65+J65</f>
        <v>0</v>
      </c>
      <c r="L65" s="1205">
        <v>0</v>
      </c>
      <c r="M65" s="1494"/>
      <c r="N65" s="1205"/>
      <c r="O65" s="1206"/>
      <c r="P65" s="1207"/>
      <c r="Q65" s="1208"/>
    </row>
    <row r="66" spans="1:17" s="1209" customFormat="1" ht="33" customHeight="1">
      <c r="A66" s="1202"/>
      <c r="B66" s="1203" t="s">
        <v>3</v>
      </c>
      <c r="C66" s="1204"/>
      <c r="D66" s="1205">
        <f>'7'!D115</f>
        <v>0</v>
      </c>
      <c r="E66" s="1205">
        <f t="shared" si="23"/>
        <v>0</v>
      </c>
      <c r="F66" s="1205"/>
      <c r="G66" s="1205">
        <f t="shared" si="24"/>
        <v>0</v>
      </c>
      <c r="H66" s="1205"/>
      <c r="I66" s="1205">
        <f t="shared" si="25"/>
        <v>0</v>
      </c>
      <c r="J66" s="1205"/>
      <c r="K66" s="1205">
        <f t="shared" si="26"/>
        <v>0</v>
      </c>
      <c r="L66" s="1205">
        <v>0</v>
      </c>
      <c r="M66" s="1494"/>
      <c r="N66" s="1205"/>
      <c r="O66" s="1206"/>
      <c r="P66" s="1207"/>
      <c r="Q66" s="1208"/>
    </row>
    <row r="67" spans="1:17" s="1209" customFormat="1" ht="33" customHeight="1">
      <c r="A67" s="1210"/>
      <c r="B67" s="1211" t="s">
        <v>4</v>
      </c>
      <c r="C67" s="1206"/>
      <c r="D67" s="1205">
        <f>'7'!D128</f>
        <v>0</v>
      </c>
      <c r="E67" s="1205">
        <f t="shared" si="23"/>
        <v>0</v>
      </c>
      <c r="F67" s="1205"/>
      <c r="G67" s="1205">
        <f t="shared" si="24"/>
        <v>0</v>
      </c>
      <c r="H67" s="1205"/>
      <c r="I67" s="1205">
        <f t="shared" si="25"/>
        <v>0</v>
      </c>
      <c r="J67" s="1205"/>
      <c r="K67" s="1205">
        <f t="shared" si="26"/>
        <v>0</v>
      </c>
      <c r="L67" s="1205">
        <v>0</v>
      </c>
      <c r="M67" s="1494"/>
      <c r="N67" s="1206"/>
      <c r="O67" s="1205">
        <f>E67+N67</f>
        <v>0</v>
      </c>
      <c r="P67" s="1212"/>
      <c r="Q67" s="1208"/>
    </row>
    <row r="68" spans="1:17" s="1209" customFormat="1" ht="33" customHeight="1">
      <c r="A68" s="1210"/>
      <c r="B68" s="1211" t="s">
        <v>852</v>
      </c>
      <c r="C68" s="1206"/>
      <c r="D68" s="1205">
        <f>'7'!D141</f>
        <v>4425</v>
      </c>
      <c r="E68" s="1205">
        <v>4209</v>
      </c>
      <c r="F68" s="1205">
        <v>-126</v>
      </c>
      <c r="G68" s="1205">
        <f t="shared" si="24"/>
        <v>4083</v>
      </c>
      <c r="H68" s="1205"/>
      <c r="I68" s="1205">
        <f t="shared" si="25"/>
        <v>4083</v>
      </c>
      <c r="J68" s="1205"/>
      <c r="K68" s="1675">
        <v>3655</v>
      </c>
      <c r="L68" s="1205">
        <v>0</v>
      </c>
      <c r="M68" s="1494">
        <f t="shared" si="21"/>
        <v>0</v>
      </c>
      <c r="N68" s="1206"/>
      <c r="O68" s="1205">
        <v>4083</v>
      </c>
      <c r="P68" s="1212"/>
      <c r="Q68" s="1208"/>
    </row>
    <row r="69" spans="1:17" s="1209" customFormat="1" ht="33" customHeight="1">
      <c r="A69" s="1210"/>
      <c r="B69" s="1211" t="s">
        <v>850</v>
      </c>
      <c r="C69" s="1206"/>
      <c r="D69" s="1205">
        <f>'7'!D154</f>
        <v>8000</v>
      </c>
      <c r="E69" s="1205">
        <f t="shared" si="23"/>
        <v>8000</v>
      </c>
      <c r="F69" s="1205"/>
      <c r="G69" s="1205">
        <f t="shared" si="24"/>
        <v>8000</v>
      </c>
      <c r="H69" s="1205"/>
      <c r="I69" s="1205">
        <f t="shared" si="25"/>
        <v>8000</v>
      </c>
      <c r="J69" s="1205"/>
      <c r="K69" s="1675">
        <f t="shared" si="26"/>
        <v>8000</v>
      </c>
      <c r="L69" s="1205">
        <v>5017</v>
      </c>
      <c r="M69" s="1494">
        <f t="shared" si="21"/>
        <v>0.62712500000000004</v>
      </c>
      <c r="N69" s="1205">
        <v>8000</v>
      </c>
      <c r="O69" s="1206"/>
      <c r="P69" s="1212"/>
      <c r="Q69" s="1208"/>
    </row>
    <row r="70" spans="1:17" s="1209" customFormat="1" ht="33" customHeight="1">
      <c r="A70" s="1210"/>
      <c r="B70" s="1211" t="s">
        <v>840</v>
      </c>
      <c r="C70" s="1206"/>
      <c r="D70" s="1205">
        <f>'7'!D202</f>
        <v>0</v>
      </c>
      <c r="E70" s="1205">
        <f t="shared" si="23"/>
        <v>0</v>
      </c>
      <c r="F70" s="1205"/>
      <c r="G70" s="1205">
        <f t="shared" si="24"/>
        <v>0</v>
      </c>
      <c r="H70" s="1205"/>
      <c r="I70" s="1205">
        <f t="shared" si="25"/>
        <v>0</v>
      </c>
      <c r="J70" s="1205"/>
      <c r="K70" s="1205">
        <f t="shared" si="26"/>
        <v>0</v>
      </c>
      <c r="L70" s="1205">
        <v>0</v>
      </c>
      <c r="M70" s="1494"/>
      <c r="N70" s="1205">
        <v>0</v>
      </c>
      <c r="O70" s="1206"/>
      <c r="P70" s="1212"/>
      <c r="Q70" s="1208"/>
    </row>
    <row r="71" spans="1:17" s="1492" customFormat="1" ht="30.75" customHeight="1" thickBot="1">
      <c r="A71" s="1039"/>
      <c r="B71" s="1068" t="s">
        <v>454</v>
      </c>
      <c r="C71" s="1116">
        <f>SUM(C57)</f>
        <v>0</v>
      </c>
      <c r="D71" s="1116">
        <f>D60+D61+D62+D63+D64+D58+D59</f>
        <v>26074</v>
      </c>
      <c r="E71" s="1116">
        <f>E59+E60+E61+E62+E63+E64+E58</f>
        <v>25858</v>
      </c>
      <c r="F71" s="1116">
        <f>SUM(F58:F64)</f>
        <v>-126</v>
      </c>
      <c r="G71" s="1116">
        <f>SUM(G58:G64)</f>
        <v>25732</v>
      </c>
      <c r="H71" s="1116">
        <f>SUM(H58:H64)</f>
        <v>0</v>
      </c>
      <c r="I71" s="1116">
        <f>SUM(I58:I64)</f>
        <v>25732</v>
      </c>
      <c r="J71" s="1116"/>
      <c r="K71" s="1116">
        <f>SUM(K58:K64)</f>
        <v>24704</v>
      </c>
      <c r="L71" s="1116">
        <f>SUM(L58:L64)</f>
        <v>16329</v>
      </c>
      <c r="M71" s="1495">
        <f>L71/K71</f>
        <v>0.66098607512953367</v>
      </c>
      <c r="N71" s="1116">
        <f>N60+N61+N62+N63+N64+N58+N59</f>
        <v>21049</v>
      </c>
      <c r="O71" s="1116">
        <f>O60+O61+O62+O63+O64</f>
        <v>4083</v>
      </c>
      <c r="P71" s="1117">
        <f>SUM(P57)</f>
        <v>0</v>
      </c>
      <c r="Q71" s="1491">
        <f t="shared" si="10"/>
        <v>25132</v>
      </c>
    </row>
    <row r="72" spans="1:17" s="356" customFormat="1" ht="36" customHeight="1" thickBot="1">
      <c r="A72" s="751"/>
      <c r="B72" s="1127" t="s">
        <v>451</v>
      </c>
      <c r="C72" s="752"/>
      <c r="D72" s="752"/>
      <c r="E72" s="752"/>
      <c r="F72" s="752"/>
      <c r="G72" s="752"/>
      <c r="H72" s="752"/>
      <c r="I72" s="752"/>
      <c r="J72" s="752"/>
      <c r="K72" s="752"/>
      <c r="L72" s="752"/>
      <c r="M72" s="752"/>
      <c r="N72" s="975"/>
      <c r="O72" s="975"/>
      <c r="P72" s="976"/>
      <c r="Q72" s="981">
        <f t="shared" si="10"/>
        <v>0</v>
      </c>
    </row>
    <row r="73" spans="1:17" s="356" customFormat="1" ht="33.950000000000003" customHeight="1">
      <c r="A73" s="533" t="s">
        <v>60</v>
      </c>
      <c r="B73" s="977" t="s">
        <v>194</v>
      </c>
      <c r="C73" s="1106">
        <v>14000</v>
      </c>
      <c r="D73" s="1106">
        <v>15240</v>
      </c>
      <c r="E73" s="1106">
        <v>26000</v>
      </c>
      <c r="F73" s="1106"/>
      <c r="G73" s="1106">
        <f t="shared" ref="G73:G78" si="27">E73+F73</f>
        <v>26000</v>
      </c>
      <c r="H73" s="1106"/>
      <c r="I73" s="1106">
        <f t="shared" ref="I73:I78" si="28">G73+H73</f>
        <v>26000</v>
      </c>
      <c r="J73" s="1106"/>
      <c r="K73" s="1106">
        <f t="shared" ref="K73:K78" si="29">I73+J73</f>
        <v>26000</v>
      </c>
      <c r="L73" s="1690">
        <v>22346</v>
      </c>
      <c r="M73" s="1501">
        <f>L73/K73</f>
        <v>0.8594615384615385</v>
      </c>
      <c r="N73" s="1106">
        <f>14000+D73</f>
        <v>29240</v>
      </c>
      <c r="O73" s="1106">
        <v>0</v>
      </c>
      <c r="P73" s="1107"/>
      <c r="Q73" s="981">
        <f t="shared" si="10"/>
        <v>29240</v>
      </c>
    </row>
    <row r="74" spans="1:17" s="356" customFormat="1" ht="33.950000000000003" customHeight="1">
      <c r="A74" s="533" t="s">
        <v>61</v>
      </c>
      <c r="B74" s="977" t="s">
        <v>492</v>
      </c>
      <c r="C74" s="1106">
        <v>3780</v>
      </c>
      <c r="D74" s="1106"/>
      <c r="E74" s="1106">
        <v>7020</v>
      </c>
      <c r="F74" s="1106"/>
      <c r="G74" s="1106">
        <f t="shared" si="27"/>
        <v>7020</v>
      </c>
      <c r="H74" s="1106"/>
      <c r="I74" s="1106">
        <f t="shared" si="28"/>
        <v>7020</v>
      </c>
      <c r="J74" s="1106"/>
      <c r="K74" s="1106">
        <f t="shared" si="29"/>
        <v>7020</v>
      </c>
      <c r="L74" s="1690">
        <v>6033</v>
      </c>
      <c r="M74" s="1501">
        <f t="shared" ref="M74:M79" si="30">L74/K74</f>
        <v>0.85940170940170946</v>
      </c>
      <c r="N74" s="1106">
        <v>3780</v>
      </c>
      <c r="O74" s="1106">
        <v>0</v>
      </c>
      <c r="P74" s="1107"/>
      <c r="Q74" s="981">
        <f t="shared" si="10"/>
        <v>3780</v>
      </c>
    </row>
    <row r="75" spans="1:17" s="356" customFormat="1" ht="33.950000000000003" customHeight="1">
      <c r="A75" s="533" t="s">
        <v>62</v>
      </c>
      <c r="B75" s="977" t="s">
        <v>805</v>
      </c>
      <c r="C75" s="1106">
        <v>71700</v>
      </c>
      <c r="D75" s="1106">
        <v>16290</v>
      </c>
      <c r="E75" s="1106">
        <v>77990</v>
      </c>
      <c r="F75" s="1106"/>
      <c r="G75" s="1106">
        <f t="shared" si="27"/>
        <v>77990</v>
      </c>
      <c r="H75" s="1106"/>
      <c r="I75" s="1106">
        <f t="shared" si="28"/>
        <v>77990</v>
      </c>
      <c r="J75" s="1106"/>
      <c r="K75" s="1106">
        <f t="shared" si="29"/>
        <v>77990</v>
      </c>
      <c r="L75" s="1690">
        <v>14592</v>
      </c>
      <c r="M75" s="1501">
        <f t="shared" si="30"/>
        <v>0.18710091037312476</v>
      </c>
      <c r="N75" s="1106">
        <v>77990</v>
      </c>
      <c r="O75" s="1106">
        <v>0</v>
      </c>
      <c r="P75" s="1107"/>
      <c r="Q75" s="981">
        <f t="shared" si="10"/>
        <v>77990</v>
      </c>
    </row>
    <row r="76" spans="1:17" s="356" customFormat="1" ht="33.950000000000003" customHeight="1">
      <c r="A76" s="538" t="s">
        <v>63</v>
      </c>
      <c r="B76" s="1258" t="s">
        <v>896</v>
      </c>
      <c r="C76" s="1109"/>
      <c r="D76" s="1109"/>
      <c r="E76" s="1109">
        <v>10000</v>
      </c>
      <c r="F76" s="1109"/>
      <c r="G76" s="1109">
        <f t="shared" si="27"/>
        <v>10000</v>
      </c>
      <c r="H76" s="1109"/>
      <c r="I76" s="1109">
        <f t="shared" si="28"/>
        <v>10000</v>
      </c>
      <c r="J76" s="1109"/>
      <c r="K76" s="1106">
        <f t="shared" si="29"/>
        <v>10000</v>
      </c>
      <c r="L76" s="1690">
        <v>3940</v>
      </c>
      <c r="M76" s="1501">
        <f t="shared" si="30"/>
        <v>0.39400000000000002</v>
      </c>
      <c r="N76" s="1109">
        <v>10000</v>
      </c>
      <c r="O76" s="1109"/>
      <c r="P76" s="1110"/>
      <c r="Q76" s="981"/>
    </row>
    <row r="77" spans="1:17" s="356" customFormat="1" ht="33.950000000000003" customHeight="1">
      <c r="A77" s="538" t="s">
        <v>898</v>
      </c>
      <c r="B77" s="1258" t="s">
        <v>899</v>
      </c>
      <c r="C77" s="1109"/>
      <c r="D77" s="1109"/>
      <c r="E77" s="1109">
        <v>1000</v>
      </c>
      <c r="F77" s="1109"/>
      <c r="G77" s="1109">
        <f t="shared" si="27"/>
        <v>1000</v>
      </c>
      <c r="H77" s="1109"/>
      <c r="I77" s="1109">
        <f t="shared" si="28"/>
        <v>1000</v>
      </c>
      <c r="J77" s="1109">
        <v>600</v>
      </c>
      <c r="K77" s="1106">
        <f t="shared" si="29"/>
        <v>1600</v>
      </c>
      <c r="L77" s="1106">
        <v>0</v>
      </c>
      <c r="M77" s="1501">
        <f t="shared" si="30"/>
        <v>0</v>
      </c>
      <c r="N77" s="1109">
        <v>1600</v>
      </c>
      <c r="O77" s="1109"/>
      <c r="P77" s="1110"/>
      <c r="Q77" s="981"/>
    </row>
    <row r="78" spans="1:17" s="356" customFormat="1" ht="33.950000000000003" customHeight="1">
      <c r="A78" s="538" t="s">
        <v>65</v>
      </c>
      <c r="B78" s="1258" t="s">
        <v>900</v>
      </c>
      <c r="C78" s="1109"/>
      <c r="D78" s="1109"/>
      <c r="E78" s="1109">
        <v>270</v>
      </c>
      <c r="F78" s="1109"/>
      <c r="G78" s="1109">
        <f t="shared" si="27"/>
        <v>270</v>
      </c>
      <c r="H78" s="1109"/>
      <c r="I78" s="1109">
        <f t="shared" si="28"/>
        <v>270</v>
      </c>
      <c r="J78" s="1109">
        <v>110</v>
      </c>
      <c r="K78" s="1106">
        <f t="shared" si="29"/>
        <v>380</v>
      </c>
      <c r="L78" s="1106">
        <v>0</v>
      </c>
      <c r="M78" s="1501">
        <f t="shared" si="30"/>
        <v>0</v>
      </c>
      <c r="N78" s="1109">
        <v>380</v>
      </c>
      <c r="O78" s="1109"/>
      <c r="P78" s="1110"/>
      <c r="Q78" s="981"/>
    </row>
    <row r="79" spans="1:17" s="108" customFormat="1" ht="33" customHeight="1">
      <c r="A79" s="1281"/>
      <c r="B79" s="1263" t="s">
        <v>454</v>
      </c>
      <c r="C79" s="1264">
        <f>SUM(C73:C75)</f>
        <v>89480</v>
      </c>
      <c r="D79" s="1264">
        <f>SUM(D73:D75)</f>
        <v>31530</v>
      </c>
      <c r="E79" s="1264">
        <f t="shared" ref="E79:N79" si="31">SUM(E73:E78)</f>
        <v>122280</v>
      </c>
      <c r="F79" s="1264">
        <f t="shared" si="31"/>
        <v>0</v>
      </c>
      <c r="G79" s="1264">
        <f t="shared" si="31"/>
        <v>122280</v>
      </c>
      <c r="H79" s="1264">
        <f t="shared" si="31"/>
        <v>0</v>
      </c>
      <c r="I79" s="1264">
        <f t="shared" si="31"/>
        <v>122280</v>
      </c>
      <c r="J79" s="1264">
        <f t="shared" si="31"/>
        <v>710</v>
      </c>
      <c r="K79" s="1264">
        <f t="shared" si="31"/>
        <v>122990</v>
      </c>
      <c r="L79" s="1264">
        <f t="shared" si="31"/>
        <v>46911</v>
      </c>
      <c r="M79" s="1502">
        <f t="shared" si="30"/>
        <v>0.38142125376046832</v>
      </c>
      <c r="N79" s="1264">
        <f t="shared" si="31"/>
        <v>122990</v>
      </c>
      <c r="O79" s="1264">
        <f>SUM(O73)</f>
        <v>0</v>
      </c>
      <c r="P79" s="1282">
        <f>SUM(P73)</f>
        <v>0</v>
      </c>
      <c r="Q79" s="1491">
        <f t="shared" si="10"/>
        <v>122990</v>
      </c>
    </row>
    <row r="80" spans="1:17" s="356" customFormat="1" ht="36" customHeight="1" thickBot="1">
      <c r="A80" s="1262"/>
      <c r="B80" s="1903" t="s">
        <v>360</v>
      </c>
      <c r="C80" s="1903"/>
      <c r="D80" s="1903"/>
      <c r="E80" s="1903"/>
      <c r="F80" s="1903"/>
      <c r="G80" s="1903"/>
      <c r="H80" s="1903"/>
      <c r="I80" s="1903"/>
      <c r="J80" s="1903"/>
      <c r="K80" s="1903"/>
      <c r="L80" s="1903"/>
      <c r="M80" s="1903"/>
      <c r="N80" s="1903"/>
      <c r="O80" s="1903"/>
      <c r="P80" s="1904"/>
      <c r="Q80" s="981"/>
    </row>
    <row r="81" spans="1:17" s="356" customFormat="1" ht="33.950000000000003" customHeight="1">
      <c r="A81" s="753" t="s">
        <v>60</v>
      </c>
      <c r="B81" s="978" t="s">
        <v>837</v>
      </c>
      <c r="C81" s="1118">
        <v>2000</v>
      </c>
      <c r="D81" s="1118">
        <v>10000</v>
      </c>
      <c r="E81" s="1118">
        <f>C81+D81</f>
        <v>12000</v>
      </c>
      <c r="F81" s="1118"/>
      <c r="G81" s="1118">
        <f>E81+F81</f>
        <v>12000</v>
      </c>
      <c r="H81" s="1118"/>
      <c r="I81" s="1118">
        <f>G81+H81</f>
        <v>12000</v>
      </c>
      <c r="J81" s="1118"/>
      <c r="K81" s="1118">
        <f>I81+J81</f>
        <v>12000</v>
      </c>
      <c r="L81" s="1674"/>
      <c r="M81" s="1503">
        <f>L81/K81</f>
        <v>0</v>
      </c>
      <c r="N81" s="1119">
        <f>E81*0.75</f>
        <v>9000</v>
      </c>
      <c r="O81" s="1118">
        <f>E81-N81</f>
        <v>3000</v>
      </c>
      <c r="P81" s="1120"/>
      <c r="Q81" s="981">
        <f t="shared" si="10"/>
        <v>12000</v>
      </c>
    </row>
    <row r="82" spans="1:17" s="356" customFormat="1" ht="33.950000000000003" customHeight="1">
      <c r="A82" s="754" t="s">
        <v>61</v>
      </c>
      <c r="B82" s="979" t="s">
        <v>355</v>
      </c>
      <c r="C82" s="1112">
        <v>2000</v>
      </c>
      <c r="D82" s="1112">
        <v>16151</v>
      </c>
      <c r="E82" s="1112">
        <f>C82+D82</f>
        <v>18151</v>
      </c>
      <c r="F82" s="1118">
        <v>-2700</v>
      </c>
      <c r="G82" s="1118">
        <f>E82+F82</f>
        <v>15451</v>
      </c>
      <c r="H82" s="1118">
        <v>-3100</v>
      </c>
      <c r="I82" s="1118">
        <f>G82+H82</f>
        <v>12351</v>
      </c>
      <c r="J82" s="1118">
        <v>-1890</v>
      </c>
      <c r="K82" s="1118">
        <f>I82+J82</f>
        <v>10461</v>
      </c>
      <c r="L82" s="1118">
        <v>9898</v>
      </c>
      <c r="M82" s="1503">
        <f t="shared" ref="M82:M84" si="32">L82/K82</f>
        <v>0.94618105343657399</v>
      </c>
      <c r="N82" s="1119">
        <f>K82*0.75</f>
        <v>7845.75</v>
      </c>
      <c r="O82" s="1118">
        <f>K82-N82</f>
        <v>2615.25</v>
      </c>
      <c r="P82" s="1110"/>
      <c r="Q82" s="981">
        <f t="shared" si="10"/>
        <v>10461</v>
      </c>
    </row>
    <row r="83" spans="1:17" s="356" customFormat="1" ht="33.950000000000003" customHeight="1">
      <c r="A83" s="1293" t="s">
        <v>62</v>
      </c>
      <c r="B83" s="1294" t="s">
        <v>915</v>
      </c>
      <c r="C83" s="1295"/>
      <c r="D83" s="1295"/>
      <c r="E83" s="1295"/>
      <c r="F83" s="1296">
        <v>2700</v>
      </c>
      <c r="G83" s="1296">
        <v>2700</v>
      </c>
      <c r="H83" s="1296"/>
      <c r="I83" s="1296">
        <f>G83+H83</f>
        <v>2700</v>
      </c>
      <c r="J83" s="1296"/>
      <c r="K83" s="1118">
        <f>I83+J83</f>
        <v>2700</v>
      </c>
      <c r="L83" s="1296">
        <v>2672</v>
      </c>
      <c r="M83" s="1503">
        <f t="shared" si="32"/>
        <v>0.98962962962962964</v>
      </c>
      <c r="N83" s="1297">
        <f>G83*0.75</f>
        <v>2025</v>
      </c>
      <c r="O83" s="1118">
        <f>G83-N83</f>
        <v>675</v>
      </c>
      <c r="P83" s="1298"/>
      <c r="Q83" s="981">
        <f t="shared" si="10"/>
        <v>2700</v>
      </c>
    </row>
    <row r="84" spans="1:17" s="108" customFormat="1" ht="33" customHeight="1" thickBot="1">
      <c r="A84" s="755"/>
      <c r="B84" s="980" t="s">
        <v>454</v>
      </c>
      <c r="C84" s="1121">
        <f t="shared" ref="C84:P84" si="33">SUM(C81:C82)</f>
        <v>4000</v>
      </c>
      <c r="D84" s="1121">
        <f t="shared" si="33"/>
        <v>26151</v>
      </c>
      <c r="E84" s="1121">
        <f t="shared" si="33"/>
        <v>30151</v>
      </c>
      <c r="F84" s="1121">
        <f t="shared" ref="F84:O84" si="34">SUM(F81:F83)</f>
        <v>0</v>
      </c>
      <c r="G84" s="1121">
        <f t="shared" si="34"/>
        <v>30151</v>
      </c>
      <c r="H84" s="1121">
        <f t="shared" si="34"/>
        <v>-3100</v>
      </c>
      <c r="I84" s="1121">
        <f t="shared" si="34"/>
        <v>27051</v>
      </c>
      <c r="J84" s="1121">
        <f t="shared" si="34"/>
        <v>-1890</v>
      </c>
      <c r="K84" s="1121">
        <f t="shared" si="34"/>
        <v>25161</v>
      </c>
      <c r="L84" s="1121">
        <f>SUM(L81:L83)</f>
        <v>12570</v>
      </c>
      <c r="M84" s="1504">
        <f t="shared" si="32"/>
        <v>0.49958268749254797</v>
      </c>
      <c r="N84" s="1121">
        <f t="shared" si="34"/>
        <v>18870.75</v>
      </c>
      <c r="O84" s="1121">
        <f t="shared" si="34"/>
        <v>6290.25</v>
      </c>
      <c r="P84" s="1122">
        <f t="shared" si="33"/>
        <v>0</v>
      </c>
      <c r="Q84" s="1491">
        <f t="shared" si="10"/>
        <v>25161</v>
      </c>
    </row>
    <row r="85" spans="1:17" s="108" customFormat="1" ht="39" customHeight="1" thickBot="1">
      <c r="A85" s="1489"/>
      <c r="B85" s="985" t="s">
        <v>359</v>
      </c>
      <c r="C85" s="1123">
        <f>C84+C79</f>
        <v>93480</v>
      </c>
      <c r="D85" s="1123">
        <f t="shared" ref="D85:O85" si="35">D84+D79+D71</f>
        <v>83755</v>
      </c>
      <c r="E85" s="1123">
        <f t="shared" si="35"/>
        <v>178289</v>
      </c>
      <c r="F85" s="1123">
        <f t="shared" si="35"/>
        <v>-126</v>
      </c>
      <c r="G85" s="1123">
        <f t="shared" si="35"/>
        <v>178163</v>
      </c>
      <c r="H85" s="1123">
        <f>H71+H79+H84</f>
        <v>-3100</v>
      </c>
      <c r="I85" s="1123">
        <f>I71+I79+I84</f>
        <v>175063</v>
      </c>
      <c r="J85" s="1123">
        <f>J71+J79+J84</f>
        <v>-1180</v>
      </c>
      <c r="K85" s="1123">
        <f>K71+K79+K84</f>
        <v>172855</v>
      </c>
      <c r="L85" s="1123">
        <f>L71+L79+L84</f>
        <v>75810</v>
      </c>
      <c r="M85" s="1505">
        <f>L85/K85</f>
        <v>0.43857568482253911</v>
      </c>
      <c r="N85" s="1123">
        <f t="shared" si="35"/>
        <v>162909.75</v>
      </c>
      <c r="O85" s="1123">
        <f t="shared" si="35"/>
        <v>10373.25</v>
      </c>
      <c r="P85" s="1490"/>
      <c r="Q85" s="1491">
        <f t="shared" si="10"/>
        <v>173283</v>
      </c>
    </row>
    <row r="86" spans="1:17" ht="25.5" customHeight="1"/>
    <row r="87" spans="1:17"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</row>
    <row r="88" spans="1:17"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</row>
    <row r="89" spans="1:17"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</row>
    <row r="90" spans="1:17"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</row>
    <row r="91" spans="1:17"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</row>
    <row r="92" spans="1:17"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</row>
    <row r="93" spans="1:17"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</row>
  </sheetData>
  <mergeCells count="4">
    <mergeCell ref="A3:B3"/>
    <mergeCell ref="A56:B56"/>
    <mergeCell ref="A1:P2"/>
    <mergeCell ref="B80:P80"/>
  </mergeCells>
  <phoneticPr fontId="6" type="noConversion"/>
  <printOptions horizontalCentered="1"/>
  <pageMargins left="0.51181102362204722" right="0.51181102362204722" top="0.51181102362204722" bottom="0.59055118110236227" header="0.35433070866141736" footer="0.31496062992125984"/>
  <pageSetup paperSize="9" scale="52" orientation="portrait" r:id="rId1"/>
  <headerFooter alignWithMargins="0">
    <oddHeader>&amp;L&amp;"Arial,Dőlt"&amp;11&amp;U 10. melléklet a 15/2015. (V.29.) önkormányzati rendelethez</oddHeader>
    <oddFooter>&amp;C&amp;11Nagykőrös Város Önkormányzat 2014. évi zárszámadási rendelete</oddFooter>
  </headerFooter>
  <rowBreaks count="1" manualBreakCount="1">
    <brk id="54" max="7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8"/>
  <sheetViews>
    <sheetView view="pageLayout" zoomScaleNormal="100" zoomScaleSheetLayoutView="100" workbookViewId="0">
      <selection activeCell="B9" sqref="B9"/>
    </sheetView>
  </sheetViews>
  <sheetFormatPr defaultColWidth="9.140625" defaultRowHeight="15"/>
  <cols>
    <col min="1" max="1" width="4.5703125" style="95" customWidth="1"/>
    <col min="2" max="2" width="36.85546875" style="95" customWidth="1"/>
    <col min="3" max="10" width="13.7109375" style="95" customWidth="1"/>
    <col min="11" max="11" width="32.85546875" style="95" customWidth="1"/>
    <col min="12" max="16384" width="9.140625" style="95"/>
  </cols>
  <sheetData>
    <row r="1" spans="1:10" ht="18.75">
      <c r="A1" s="1907" t="s">
        <v>13</v>
      </c>
      <c r="B1" s="1907"/>
      <c r="C1" s="1907"/>
      <c r="D1" s="1907"/>
      <c r="E1" s="1907"/>
      <c r="F1" s="1907"/>
      <c r="G1" s="1907"/>
      <c r="H1" s="1907"/>
      <c r="I1" s="1907"/>
      <c r="J1" s="1907"/>
    </row>
    <row r="2" spans="1:10">
      <c r="A2" s="155"/>
      <c r="B2" s="156"/>
      <c r="C2" s="157"/>
      <c r="D2" s="157"/>
      <c r="E2" s="157"/>
      <c r="F2" s="157"/>
      <c r="G2" s="157"/>
    </row>
    <row r="3" spans="1:10" ht="21" customHeight="1" thickBot="1">
      <c r="B3" s="1908" t="s">
        <v>37</v>
      </c>
      <c r="C3" s="1908"/>
      <c r="D3" s="1908"/>
      <c r="E3" s="1908"/>
    </row>
    <row r="4" spans="1:10" ht="57.75" thickBot="1">
      <c r="A4" s="173"/>
      <c r="B4" s="582" t="s">
        <v>110</v>
      </c>
      <c r="C4" s="582" t="s">
        <v>14</v>
      </c>
      <c r="D4" s="582" t="s">
        <v>144</v>
      </c>
      <c r="E4" s="582" t="s">
        <v>15</v>
      </c>
      <c r="F4" s="582" t="s">
        <v>16</v>
      </c>
      <c r="G4" s="582" t="s">
        <v>297</v>
      </c>
      <c r="H4" s="582" t="s">
        <v>469</v>
      </c>
      <c r="I4" s="582" t="s">
        <v>468</v>
      </c>
      <c r="J4" s="191" t="s">
        <v>176</v>
      </c>
    </row>
    <row r="5" spans="1:10" ht="18" customHeight="1">
      <c r="A5" s="138">
        <v>1</v>
      </c>
      <c r="B5" s="101" t="s">
        <v>17</v>
      </c>
      <c r="C5" s="147">
        <v>3923983</v>
      </c>
      <c r="D5" s="147">
        <v>0</v>
      </c>
      <c r="E5" s="147">
        <v>4072</v>
      </c>
      <c r="F5" s="147">
        <f>(1454+1177+891+2185+3916+420+1008+3782+1462+679+708+889+748856+1462+937+420+18488+1261+632+239+748856+1600+1462+1083+748856+97060+1462+9244+767)*0.85</f>
        <v>2041067.5999999999</v>
      </c>
      <c r="G5" s="147">
        <v>1856412</v>
      </c>
      <c r="H5" s="147">
        <v>0</v>
      </c>
      <c r="I5" s="187"/>
      <c r="J5" s="176">
        <f>SUM(D5:H5)</f>
        <v>3901551.5999999996</v>
      </c>
    </row>
    <row r="6" spans="1:10" ht="18" customHeight="1">
      <c r="A6" s="135">
        <v>2</v>
      </c>
      <c r="B6" s="61" t="s">
        <v>18</v>
      </c>
      <c r="C6" s="143">
        <v>692467</v>
      </c>
      <c r="D6" s="143">
        <v>0</v>
      </c>
      <c r="E6" s="143">
        <v>774</v>
      </c>
      <c r="F6" s="143">
        <f>(1454+1177+891+2185+3916+420+1008+3782+1462+679+708+889+748856+1462+937+420+18488+1261+632+239+748856+1600+1462+1083+748856+97060+1462+9244+767)*0.15</f>
        <v>360188.39999999997</v>
      </c>
      <c r="G6" s="143">
        <v>327602</v>
      </c>
      <c r="H6" s="143">
        <v>0</v>
      </c>
      <c r="I6" s="143"/>
      <c r="J6" s="174">
        <f t="shared" ref="J6:J12" si="0">SUM(D6:G6)</f>
        <v>688564.39999999991</v>
      </c>
    </row>
    <row r="7" spans="1:10" ht="18" customHeight="1">
      <c r="A7" s="135">
        <v>3</v>
      </c>
      <c r="B7" s="61" t="s">
        <v>19</v>
      </c>
      <c r="C7" s="143">
        <v>0</v>
      </c>
      <c r="D7" s="143">
        <v>0</v>
      </c>
      <c r="E7" s="143">
        <v>0</v>
      </c>
      <c r="F7" s="143">
        <v>0</v>
      </c>
      <c r="G7" s="143">
        <f t="shared" ref="G7:H12" si="1">C7-E7-F7</f>
        <v>0</v>
      </c>
      <c r="H7" s="143">
        <f t="shared" si="1"/>
        <v>0</v>
      </c>
      <c r="I7" s="143"/>
      <c r="J7" s="174">
        <f t="shared" si="0"/>
        <v>0</v>
      </c>
    </row>
    <row r="8" spans="1:10" ht="18" customHeight="1">
      <c r="A8" s="135">
        <v>4</v>
      </c>
      <c r="B8" s="61" t="s">
        <v>20</v>
      </c>
      <c r="C8" s="143">
        <v>47373</v>
      </c>
      <c r="D8" s="143">
        <v>0</v>
      </c>
      <c r="E8" s="143">
        <v>0</v>
      </c>
      <c r="F8" s="143"/>
      <c r="G8" s="143">
        <v>0</v>
      </c>
      <c r="H8" s="143">
        <v>0</v>
      </c>
      <c r="I8" s="143"/>
      <c r="J8" s="174">
        <f t="shared" si="0"/>
        <v>0</v>
      </c>
    </row>
    <row r="9" spans="1:10" ht="18" customHeight="1">
      <c r="A9" s="135">
        <v>5</v>
      </c>
      <c r="B9" s="61" t="s">
        <v>21</v>
      </c>
      <c r="C9" s="143">
        <v>0</v>
      </c>
      <c r="D9" s="143">
        <v>0</v>
      </c>
      <c r="E9" s="143">
        <v>0</v>
      </c>
      <c r="F9" s="143">
        <v>0</v>
      </c>
      <c r="G9" s="143">
        <f t="shared" si="1"/>
        <v>0</v>
      </c>
      <c r="H9" s="143">
        <f t="shared" si="1"/>
        <v>0</v>
      </c>
      <c r="I9" s="143"/>
      <c r="J9" s="174">
        <f t="shared" si="0"/>
        <v>0</v>
      </c>
    </row>
    <row r="10" spans="1:10" ht="18" customHeight="1">
      <c r="A10" s="135">
        <v>6</v>
      </c>
      <c r="B10" s="61" t="s">
        <v>22</v>
      </c>
      <c r="C10" s="143">
        <f>760000-26060</f>
        <v>733940</v>
      </c>
      <c r="D10" s="143">
        <v>0</v>
      </c>
      <c r="E10" s="143">
        <v>0</v>
      </c>
      <c r="F10" s="143">
        <f>433063+143793+2172</f>
        <v>579028</v>
      </c>
      <c r="G10" s="143">
        <v>151219</v>
      </c>
      <c r="H10" s="143">
        <v>0</v>
      </c>
      <c r="I10" s="143"/>
      <c r="J10" s="174">
        <f t="shared" si="0"/>
        <v>730247</v>
      </c>
    </row>
    <row r="11" spans="1:10" ht="18" customHeight="1">
      <c r="A11" s="135">
        <v>7</v>
      </c>
      <c r="B11" s="61" t="s">
        <v>23</v>
      </c>
      <c r="C11" s="143">
        <f>117048+3160+9792</f>
        <v>130000</v>
      </c>
      <c r="D11" s="143">
        <v>0</v>
      </c>
      <c r="E11" s="143">
        <v>0</v>
      </c>
      <c r="F11" s="143">
        <v>18480</v>
      </c>
      <c r="G11" s="143">
        <v>111914</v>
      </c>
      <c r="H11" s="143">
        <v>0</v>
      </c>
      <c r="I11" s="143"/>
      <c r="J11" s="174">
        <f t="shared" si="0"/>
        <v>130394</v>
      </c>
    </row>
    <row r="12" spans="1:10" ht="18" customHeight="1">
      <c r="A12" s="135">
        <v>8</v>
      </c>
      <c r="B12" s="61" t="s">
        <v>24</v>
      </c>
      <c r="C12" s="143">
        <v>0</v>
      </c>
      <c r="D12" s="143">
        <v>0</v>
      </c>
      <c r="E12" s="143">
        <v>0</v>
      </c>
      <c r="F12" s="143">
        <v>0</v>
      </c>
      <c r="G12" s="143">
        <f t="shared" si="1"/>
        <v>0</v>
      </c>
      <c r="H12" s="143">
        <f t="shared" si="1"/>
        <v>0</v>
      </c>
      <c r="I12" s="143"/>
      <c r="J12" s="174">
        <f t="shared" si="0"/>
        <v>0</v>
      </c>
    </row>
    <row r="13" spans="1:10" ht="18" customHeight="1">
      <c r="A13" s="135">
        <v>9</v>
      </c>
      <c r="B13" s="61" t="s">
        <v>25</v>
      </c>
      <c r="C13" s="143">
        <v>1373375</v>
      </c>
      <c r="D13" s="143">
        <v>0</v>
      </c>
      <c r="E13" s="143">
        <f>432+265+538+885+19</f>
        <v>2139</v>
      </c>
      <c r="F13" s="143">
        <f>650+125+300+1165+1125+435+550+211+265+222782+435+278+125+5500+375+188+71+222782+476+435+322+222781+28875+435+2750+228</f>
        <v>713664</v>
      </c>
      <c r="G13" s="143">
        <v>309407</v>
      </c>
      <c r="H13" s="143">
        <v>0</v>
      </c>
      <c r="I13" s="143"/>
      <c r="J13" s="174">
        <f>SUM(D13:H13)</f>
        <v>1025210</v>
      </c>
    </row>
    <row r="14" spans="1:10" ht="18" customHeight="1" thickBot="1">
      <c r="A14" s="163">
        <v>10</v>
      </c>
      <c r="B14" s="180" t="s">
        <v>26</v>
      </c>
      <c r="C14" s="181">
        <v>0</v>
      </c>
      <c r="D14" s="182">
        <v>1416</v>
      </c>
      <c r="E14" s="182">
        <v>-5</v>
      </c>
      <c r="F14" s="181">
        <v>12403</v>
      </c>
      <c r="G14" s="183">
        <v>216897</v>
      </c>
      <c r="H14" s="183">
        <v>0</v>
      </c>
      <c r="I14" s="183"/>
      <c r="J14" s="184">
        <f>SUM(D14:G14)</f>
        <v>230711</v>
      </c>
    </row>
    <row r="15" spans="1:10" ht="25.15" customHeight="1" thickBot="1">
      <c r="A15" s="192">
        <v>11</v>
      </c>
      <c r="B15" s="100" t="s">
        <v>27</v>
      </c>
      <c r="C15" s="149">
        <f>SUM(C5:C13)</f>
        <v>6901138</v>
      </c>
      <c r="D15" s="149">
        <f>SUM(D5:D14)</f>
        <v>1416</v>
      </c>
      <c r="E15" s="149">
        <f>SUM(E5:E14)</f>
        <v>6980</v>
      </c>
      <c r="F15" s="149">
        <f>SUM(F5:F14)</f>
        <v>3724831</v>
      </c>
      <c r="G15" s="149">
        <f>SUM(G5:G14)</f>
        <v>2973451</v>
      </c>
      <c r="H15" s="149">
        <f>SUM(H5:H14)</f>
        <v>0</v>
      </c>
      <c r="I15" s="149"/>
      <c r="J15" s="193">
        <f>SUM(D15:H15)</f>
        <v>6706678</v>
      </c>
    </row>
    <row r="16" spans="1:10" ht="18" customHeight="1">
      <c r="A16" s="185">
        <v>12</v>
      </c>
      <c r="B16" s="186" t="s">
        <v>28</v>
      </c>
      <c r="C16" s="187">
        <v>5493498</v>
      </c>
      <c r="D16" s="187">
        <f>548+584</f>
        <v>1132</v>
      </c>
      <c r="E16" s="187">
        <f>2406+2151+78+169+276</f>
        <v>5080</v>
      </c>
      <c r="F16" s="187">
        <f>891+1400+1454+2600+4660+500+1200+4500+1740+808+842+1058+891126+1740+1115+500+22000+1500+752+284+891126+1905+1740+1289+891126+115500+1740+11000+913</f>
        <v>2857009</v>
      </c>
      <c r="G16" s="187">
        <f>2662767+1277</f>
        <v>2664044</v>
      </c>
      <c r="H16" s="187">
        <v>0</v>
      </c>
      <c r="I16" s="187"/>
      <c r="J16" s="188">
        <f>SUM(D16:H16)</f>
        <v>5527265</v>
      </c>
    </row>
    <row r="17" spans="1:11" ht="18" customHeight="1">
      <c r="A17" s="135">
        <v>13</v>
      </c>
      <c r="B17" s="61" t="s">
        <v>29</v>
      </c>
      <c r="C17" s="143">
        <v>1373375</v>
      </c>
      <c r="D17" s="143">
        <v>284</v>
      </c>
      <c r="E17" s="143">
        <f>601+538+19+265+432</f>
        <v>1855</v>
      </c>
      <c r="F17" s="143">
        <f>650+125+300+1165+1125+435+202+211+265+222782+435+278+125+5500+375+188+71+222782+476+435+322+222781+28875+435+2750+228</f>
        <v>713316</v>
      </c>
      <c r="G17" s="147">
        <v>309407</v>
      </c>
      <c r="H17" s="147">
        <v>0</v>
      </c>
      <c r="I17" s="143"/>
      <c r="J17" s="174">
        <f>SUM(D17:H17)</f>
        <v>1024862</v>
      </c>
      <c r="K17" s="95" t="s">
        <v>98</v>
      </c>
    </row>
    <row r="18" spans="1:11" ht="18" customHeight="1">
      <c r="A18" s="135">
        <v>14</v>
      </c>
      <c r="B18" s="61" t="s">
        <v>30</v>
      </c>
      <c r="C18" s="143">
        <v>0</v>
      </c>
      <c r="D18" s="143">
        <v>0</v>
      </c>
      <c r="E18" s="143">
        <v>0</v>
      </c>
      <c r="F18" s="143">
        <v>0</v>
      </c>
      <c r="G18" s="147">
        <f t="shared" ref="G18:H24" si="2">C18-D18-E18-F18</f>
        <v>0</v>
      </c>
      <c r="H18" s="147">
        <f t="shared" si="2"/>
        <v>0</v>
      </c>
      <c r="I18" s="143"/>
      <c r="J18" s="174">
        <f t="shared" ref="J18:J25" si="3">SUM(D18:G18)</f>
        <v>0</v>
      </c>
      <c r="K18" s="95" t="s">
        <v>98</v>
      </c>
    </row>
    <row r="19" spans="1:11" ht="18" customHeight="1">
      <c r="A19" s="135">
        <v>15</v>
      </c>
      <c r="B19" s="61" t="s">
        <v>31</v>
      </c>
      <c r="C19" s="143">
        <v>0</v>
      </c>
      <c r="D19" s="143">
        <v>0</v>
      </c>
      <c r="E19" s="143">
        <v>0</v>
      </c>
      <c r="F19" s="143">
        <v>0</v>
      </c>
      <c r="G19" s="147">
        <f t="shared" si="2"/>
        <v>0</v>
      </c>
      <c r="H19" s="147">
        <f t="shared" si="2"/>
        <v>0</v>
      </c>
      <c r="I19" s="143"/>
      <c r="J19" s="174">
        <f t="shared" si="3"/>
        <v>0</v>
      </c>
    </row>
    <row r="20" spans="1:11" ht="18" customHeight="1">
      <c r="A20" s="135">
        <v>16</v>
      </c>
      <c r="B20" s="61" t="s">
        <v>40</v>
      </c>
      <c r="C20" s="143">
        <v>0</v>
      </c>
      <c r="D20" s="143">
        <v>0</v>
      </c>
      <c r="E20" s="143">
        <v>0</v>
      </c>
      <c r="F20" s="143">
        <v>0</v>
      </c>
      <c r="G20" s="147">
        <f t="shared" si="2"/>
        <v>0</v>
      </c>
      <c r="H20" s="147">
        <f t="shared" si="2"/>
        <v>0</v>
      </c>
      <c r="I20" s="143"/>
      <c r="J20" s="174">
        <f t="shared" si="3"/>
        <v>0</v>
      </c>
    </row>
    <row r="21" spans="1:11" ht="18" customHeight="1">
      <c r="A21" s="135">
        <v>17</v>
      </c>
      <c r="B21" s="61" t="s">
        <v>41</v>
      </c>
      <c r="C21" s="143">
        <v>0</v>
      </c>
      <c r="D21" s="143">
        <v>0</v>
      </c>
      <c r="E21" s="143">
        <v>0</v>
      </c>
      <c r="F21" s="143">
        <v>0</v>
      </c>
      <c r="G21" s="147">
        <f t="shared" si="2"/>
        <v>0</v>
      </c>
      <c r="H21" s="147">
        <f t="shared" si="2"/>
        <v>0</v>
      </c>
      <c r="I21" s="143"/>
      <c r="J21" s="174">
        <f t="shared" si="3"/>
        <v>0</v>
      </c>
    </row>
    <row r="22" spans="1:11" ht="18" customHeight="1">
      <c r="A22" s="135">
        <v>18</v>
      </c>
      <c r="B22" s="61" t="s">
        <v>48</v>
      </c>
      <c r="C22" s="143">
        <v>0</v>
      </c>
      <c r="D22" s="143">
        <v>0</v>
      </c>
      <c r="E22" s="143">
        <v>0</v>
      </c>
      <c r="F22" s="143">
        <v>0</v>
      </c>
      <c r="G22" s="147">
        <f t="shared" si="2"/>
        <v>0</v>
      </c>
      <c r="H22" s="147">
        <f t="shared" si="2"/>
        <v>0</v>
      </c>
      <c r="I22" s="143"/>
      <c r="J22" s="174">
        <f t="shared" si="3"/>
        <v>0</v>
      </c>
    </row>
    <row r="23" spans="1:11" ht="18" customHeight="1">
      <c r="A23" s="135">
        <v>19</v>
      </c>
      <c r="B23" s="61" t="s">
        <v>32</v>
      </c>
      <c r="C23" s="143">
        <v>0</v>
      </c>
      <c r="D23" s="143">
        <v>0</v>
      </c>
      <c r="E23" s="143">
        <v>0</v>
      </c>
      <c r="F23" s="143">
        <v>0</v>
      </c>
      <c r="G23" s="147">
        <f t="shared" si="2"/>
        <v>0</v>
      </c>
      <c r="H23" s="147">
        <f t="shared" si="2"/>
        <v>0</v>
      </c>
      <c r="I23" s="143"/>
      <c r="J23" s="174">
        <f t="shared" si="3"/>
        <v>0</v>
      </c>
    </row>
    <row r="24" spans="1:11" ht="18" customHeight="1">
      <c r="A24" s="135">
        <v>20</v>
      </c>
      <c r="B24" s="61" t="s">
        <v>33</v>
      </c>
      <c r="C24" s="143">
        <v>0</v>
      </c>
      <c r="D24" s="143">
        <v>0</v>
      </c>
      <c r="E24" s="143">
        <v>0</v>
      </c>
      <c r="F24" s="143">
        <v>0</v>
      </c>
      <c r="G24" s="147">
        <f t="shared" si="2"/>
        <v>0</v>
      </c>
      <c r="H24" s="147">
        <f t="shared" si="2"/>
        <v>0</v>
      </c>
      <c r="I24" s="143"/>
      <c r="J24" s="174">
        <f t="shared" si="3"/>
        <v>0</v>
      </c>
    </row>
    <row r="25" spans="1:11" ht="18" customHeight="1" thickBot="1">
      <c r="A25" s="163">
        <v>21</v>
      </c>
      <c r="B25" s="180" t="s">
        <v>34</v>
      </c>
      <c r="C25" s="181">
        <v>0</v>
      </c>
      <c r="D25" s="181">
        <v>0</v>
      </c>
      <c r="E25" s="181">
        <v>0</v>
      </c>
      <c r="F25" s="181">
        <f>108+151283</f>
        <v>151391</v>
      </c>
      <c r="G25" s="183">
        <v>0</v>
      </c>
      <c r="H25" s="183">
        <v>0</v>
      </c>
      <c r="I25" s="183"/>
      <c r="J25" s="184">
        <f t="shared" si="3"/>
        <v>151391</v>
      </c>
    </row>
    <row r="26" spans="1:11" ht="25.15" customHeight="1" thickBot="1">
      <c r="A26" s="192">
        <v>22</v>
      </c>
      <c r="B26" s="100" t="s">
        <v>35</v>
      </c>
      <c r="C26" s="149">
        <f>C16</f>
        <v>5493498</v>
      </c>
      <c r="D26" s="149">
        <f>D16</f>
        <v>1132</v>
      </c>
      <c r="E26" s="149">
        <f>E16</f>
        <v>5080</v>
      </c>
      <c r="F26" s="149">
        <f>SUM(F16:F25)</f>
        <v>3721716</v>
      </c>
      <c r="G26" s="149">
        <f>SUM(G16:G25)</f>
        <v>2973451</v>
      </c>
      <c r="H26" s="149">
        <f>SUM(H16:H25)</f>
        <v>0</v>
      </c>
      <c r="I26" s="149"/>
      <c r="J26" s="193">
        <f>SUM(D26:H26)</f>
        <v>6701379</v>
      </c>
    </row>
    <row r="27" spans="1:11" ht="18" customHeight="1">
      <c r="A27" s="185">
        <v>23</v>
      </c>
      <c r="B27" s="186" t="s">
        <v>145</v>
      </c>
      <c r="C27" s="187">
        <v>27033</v>
      </c>
      <c r="D27" s="187"/>
      <c r="E27" s="187">
        <f>20+25</f>
        <v>45</v>
      </c>
      <c r="F27" s="187">
        <f>1392+1104</f>
        <v>2496</v>
      </c>
      <c r="G27" s="187">
        <v>0</v>
      </c>
      <c r="H27" s="187">
        <v>0</v>
      </c>
      <c r="I27" s="187"/>
      <c r="J27" s="188">
        <f>SUM(D27:G27)</f>
        <v>2541</v>
      </c>
    </row>
    <row r="28" spans="1:11" ht="18" customHeight="1" thickBot="1">
      <c r="A28" s="163">
        <v>24</v>
      </c>
      <c r="B28" s="189" t="s">
        <v>146</v>
      </c>
      <c r="C28" s="190">
        <v>7232</v>
      </c>
      <c r="D28" s="190"/>
      <c r="E28" s="190"/>
      <c r="F28" s="190">
        <f>348+271</f>
        <v>619</v>
      </c>
      <c r="G28" s="190">
        <v>0</v>
      </c>
      <c r="H28" s="190">
        <v>0</v>
      </c>
      <c r="I28" s="183"/>
      <c r="J28" s="184">
        <f>SUM(D28:G28)</f>
        <v>619</v>
      </c>
    </row>
    <row r="29" spans="1:11" ht="25.15" customHeight="1" thickBot="1">
      <c r="A29" s="192">
        <v>25</v>
      </c>
      <c r="B29" s="100" t="s">
        <v>59</v>
      </c>
      <c r="C29" s="149">
        <f>SUM(C16:C17)+C27+C28</f>
        <v>6901138</v>
      </c>
      <c r="D29" s="149">
        <f>SUM(D16:D17)+D27+D28</f>
        <v>1416</v>
      </c>
      <c r="E29" s="149">
        <f>SUM(E16:E17)+E27+E28</f>
        <v>6980</v>
      </c>
      <c r="F29" s="149">
        <f>F26+F27+F28</f>
        <v>3724831</v>
      </c>
      <c r="G29" s="149">
        <f>SUM(G16:G17)+G27+G28</f>
        <v>2973451</v>
      </c>
      <c r="H29" s="149">
        <f>SUM(H16:H17)+H27+H28</f>
        <v>0</v>
      </c>
      <c r="I29" s="149"/>
      <c r="J29" s="193">
        <f>SUM(D29:H29)</f>
        <v>6706678</v>
      </c>
    </row>
    <row r="30" spans="1:11" ht="36" customHeight="1" thickBot="1">
      <c r="A30" s="1905" t="s">
        <v>508</v>
      </c>
      <c r="B30" s="1905"/>
      <c r="C30" s="1905"/>
      <c r="D30" s="1905"/>
      <c r="E30" s="1905"/>
      <c r="F30" s="1905"/>
      <c r="G30" s="150"/>
      <c r="H30" s="153"/>
      <c r="I30" s="153"/>
    </row>
    <row r="31" spans="1:11" ht="46.9" customHeight="1" thickBot="1">
      <c r="A31" s="173"/>
      <c r="B31" s="582" t="s">
        <v>110</v>
      </c>
      <c r="C31" s="582" t="s">
        <v>14</v>
      </c>
      <c r="D31" s="582" t="s">
        <v>509</v>
      </c>
      <c r="E31" s="582" t="s">
        <v>468</v>
      </c>
      <c r="F31" s="583" t="s">
        <v>176</v>
      </c>
    </row>
    <row r="32" spans="1:11" ht="18" customHeight="1">
      <c r="A32" s="138">
        <v>1</v>
      </c>
      <c r="B32" s="101" t="s">
        <v>17</v>
      </c>
      <c r="C32" s="147">
        <v>3950</v>
      </c>
      <c r="D32" s="147">
        <v>0</v>
      </c>
      <c r="E32" s="147">
        <f>+C32-D32</f>
        <v>3950</v>
      </c>
      <c r="F32" s="148">
        <f t="shared" ref="F32:F40" si="4">SUM(D32:E32)</f>
        <v>3950</v>
      </c>
    </row>
    <row r="33" spans="1:6" ht="18" customHeight="1">
      <c r="A33" s="135">
        <v>2</v>
      </c>
      <c r="B33" s="61" t="s">
        <v>18</v>
      </c>
      <c r="C33" s="143">
        <v>3550</v>
      </c>
      <c r="D33" s="143">
        <v>9875</v>
      </c>
      <c r="E33" s="143">
        <v>25675</v>
      </c>
      <c r="F33" s="144">
        <f t="shared" si="4"/>
        <v>35550</v>
      </c>
    </row>
    <row r="34" spans="1:6" ht="18" customHeight="1">
      <c r="A34" s="135">
        <v>3</v>
      </c>
      <c r="B34" s="61" t="s">
        <v>19</v>
      </c>
      <c r="C34" s="143">
        <v>0</v>
      </c>
      <c r="D34" s="143">
        <v>0</v>
      </c>
      <c r="E34" s="143">
        <v>0</v>
      </c>
      <c r="F34" s="144">
        <f t="shared" si="4"/>
        <v>0</v>
      </c>
    </row>
    <row r="35" spans="1:6" ht="18" customHeight="1">
      <c r="A35" s="135">
        <v>4</v>
      </c>
      <c r="B35" s="61" t="s">
        <v>20</v>
      </c>
      <c r="C35" s="143">
        <v>0</v>
      </c>
      <c r="D35" s="143">
        <v>0</v>
      </c>
      <c r="E35" s="143">
        <v>0</v>
      </c>
      <c r="F35" s="144">
        <f t="shared" si="4"/>
        <v>0</v>
      </c>
    </row>
    <row r="36" spans="1:6" ht="18" customHeight="1">
      <c r="A36" s="135">
        <v>5</v>
      </c>
      <c r="B36" s="61" t="s">
        <v>21</v>
      </c>
      <c r="C36" s="143">
        <v>0</v>
      </c>
      <c r="D36" s="143">
        <v>0</v>
      </c>
      <c r="E36" s="143">
        <v>0</v>
      </c>
      <c r="F36" s="144">
        <f t="shared" si="4"/>
        <v>0</v>
      </c>
    </row>
    <row r="37" spans="1:6" ht="18" customHeight="1">
      <c r="A37" s="135">
        <v>6</v>
      </c>
      <c r="B37" s="61" t="s">
        <v>22</v>
      </c>
      <c r="C37" s="143">
        <v>0</v>
      </c>
      <c r="D37" s="143">
        <v>0</v>
      </c>
      <c r="E37" s="143">
        <v>0</v>
      </c>
      <c r="F37" s="144">
        <f t="shared" si="4"/>
        <v>0</v>
      </c>
    </row>
    <row r="38" spans="1:6" ht="18" customHeight="1">
      <c r="A38" s="135">
        <v>7</v>
      </c>
      <c r="B38" s="61" t="s">
        <v>23</v>
      </c>
      <c r="C38" s="143">
        <v>0</v>
      </c>
      <c r="D38" s="143">
        <v>0</v>
      </c>
      <c r="E38" s="143">
        <v>0</v>
      </c>
      <c r="F38" s="144">
        <f t="shared" si="4"/>
        <v>0</v>
      </c>
    </row>
    <row r="39" spans="1:6" ht="18" customHeight="1">
      <c r="A39" s="135">
        <v>8</v>
      </c>
      <c r="B39" s="61" t="s">
        <v>24</v>
      </c>
      <c r="C39" s="143">
        <v>0</v>
      </c>
      <c r="D39" s="143">
        <v>0</v>
      </c>
      <c r="E39" s="143">
        <v>0</v>
      </c>
      <c r="F39" s="144">
        <f t="shared" si="4"/>
        <v>0</v>
      </c>
    </row>
    <row r="40" spans="1:6" ht="18" customHeight="1">
      <c r="A40" s="135">
        <v>9</v>
      </c>
      <c r="B40" s="61" t="s">
        <v>25</v>
      </c>
      <c r="C40" s="143">
        <v>0</v>
      </c>
      <c r="D40" s="143">
        <v>0</v>
      </c>
      <c r="E40" s="143">
        <v>0</v>
      </c>
      <c r="F40" s="144">
        <f t="shared" si="4"/>
        <v>0</v>
      </c>
    </row>
    <row r="41" spans="1:6" ht="18" customHeight="1" thickBot="1">
      <c r="A41" s="165">
        <v>10</v>
      </c>
      <c r="B41" s="159" t="s">
        <v>26</v>
      </c>
      <c r="C41" s="175">
        <v>0</v>
      </c>
      <c r="D41" s="175">
        <v>0</v>
      </c>
      <c r="E41" s="175">
        <v>0</v>
      </c>
      <c r="F41" s="178">
        <f>SUM(C41:E41)</f>
        <v>0</v>
      </c>
    </row>
    <row r="42" spans="1:6" ht="25.15" customHeight="1" thickBot="1">
      <c r="A42" s="192">
        <v>11</v>
      </c>
      <c r="B42" s="100" t="s">
        <v>27</v>
      </c>
      <c r="C42" s="149">
        <f>SUM(C32:C41)</f>
        <v>7500</v>
      </c>
      <c r="D42" s="149">
        <f>SUM(D32:D41)</f>
        <v>9875</v>
      </c>
      <c r="E42" s="149">
        <f>SUM(E32:E40)</f>
        <v>29625</v>
      </c>
      <c r="F42" s="151">
        <f>SUM(F32:F40)</f>
        <v>39500</v>
      </c>
    </row>
    <row r="43" spans="1:6" ht="18" customHeight="1">
      <c r="A43" s="138">
        <v>12</v>
      </c>
      <c r="B43" s="101" t="s">
        <v>28</v>
      </c>
      <c r="C43" s="147">
        <v>0</v>
      </c>
      <c r="D43" s="147">
        <v>0</v>
      </c>
      <c r="E43" s="147">
        <v>0</v>
      </c>
      <c r="F43" s="148">
        <f t="shared" ref="F43:F51" si="5">SUM(D43:E43)</f>
        <v>0</v>
      </c>
    </row>
    <row r="44" spans="1:6" ht="18" customHeight="1">
      <c r="A44" s="135">
        <v>13</v>
      </c>
      <c r="B44" s="61" t="s">
        <v>29</v>
      </c>
      <c r="C44" s="143">
        <v>0</v>
      </c>
      <c r="D44" s="143">
        <v>0</v>
      </c>
      <c r="E44" s="143">
        <v>0</v>
      </c>
      <c r="F44" s="144">
        <f t="shared" si="5"/>
        <v>0</v>
      </c>
    </row>
    <row r="45" spans="1:6" ht="18" customHeight="1">
      <c r="A45" s="135">
        <v>14</v>
      </c>
      <c r="B45" s="61" t="s">
        <v>30</v>
      </c>
      <c r="C45" s="143">
        <v>0</v>
      </c>
      <c r="D45" s="143">
        <v>0</v>
      </c>
      <c r="E45" s="143">
        <v>0</v>
      </c>
      <c r="F45" s="144">
        <f t="shared" si="5"/>
        <v>0</v>
      </c>
    </row>
    <row r="46" spans="1:6" ht="18" customHeight="1">
      <c r="A46" s="135">
        <v>15</v>
      </c>
      <c r="B46" s="61" t="s">
        <v>31</v>
      </c>
      <c r="C46" s="143">
        <v>0</v>
      </c>
      <c r="D46" s="143">
        <v>0</v>
      </c>
      <c r="E46" s="143">
        <v>0</v>
      </c>
      <c r="F46" s="144">
        <f t="shared" si="5"/>
        <v>0</v>
      </c>
    </row>
    <row r="47" spans="1:6" ht="18" customHeight="1">
      <c r="A47" s="135">
        <v>16</v>
      </c>
      <c r="B47" s="61" t="s">
        <v>40</v>
      </c>
      <c r="C47" s="143">
        <v>1658</v>
      </c>
      <c r="D47" s="143">
        <v>0</v>
      </c>
      <c r="E47" s="143">
        <v>1658</v>
      </c>
      <c r="F47" s="144">
        <f t="shared" si="5"/>
        <v>1658</v>
      </c>
    </row>
    <row r="48" spans="1:6" ht="18" customHeight="1">
      <c r="A48" s="135">
        <v>17</v>
      </c>
      <c r="B48" s="61" t="s">
        <v>41</v>
      </c>
      <c r="C48" s="143">
        <v>447</v>
      </c>
      <c r="D48" s="143">
        <v>0</v>
      </c>
      <c r="E48" s="143">
        <v>447</v>
      </c>
      <c r="F48" s="144">
        <f t="shared" si="5"/>
        <v>447</v>
      </c>
    </row>
    <row r="49" spans="1:6" ht="18" customHeight="1">
      <c r="A49" s="135">
        <v>18</v>
      </c>
      <c r="B49" s="61" t="s">
        <v>48</v>
      </c>
      <c r="C49" s="143">
        <v>37395</v>
      </c>
      <c r="D49" s="143">
        <v>0</v>
      </c>
      <c r="E49" s="143">
        <v>37395</v>
      </c>
      <c r="F49" s="144">
        <f t="shared" si="5"/>
        <v>37395</v>
      </c>
    </row>
    <row r="50" spans="1:6" ht="18" customHeight="1">
      <c r="A50" s="135">
        <v>19</v>
      </c>
      <c r="B50" s="61" t="s">
        <v>32</v>
      </c>
      <c r="C50" s="143">
        <v>0</v>
      </c>
      <c r="D50" s="143">
        <v>0</v>
      </c>
      <c r="E50" s="143">
        <v>0</v>
      </c>
      <c r="F50" s="144">
        <f t="shared" si="5"/>
        <v>0</v>
      </c>
    </row>
    <row r="51" spans="1:6" ht="18" customHeight="1">
      <c r="A51" s="135">
        <v>20</v>
      </c>
      <c r="B51" s="61" t="s">
        <v>33</v>
      </c>
      <c r="C51" s="143">
        <v>0</v>
      </c>
      <c r="D51" s="143">
        <v>0</v>
      </c>
      <c r="E51" s="143">
        <v>0</v>
      </c>
      <c r="F51" s="144">
        <f t="shared" si="5"/>
        <v>0</v>
      </c>
    </row>
    <row r="52" spans="1:6" ht="18" customHeight="1" thickBot="1">
      <c r="A52" s="165">
        <v>21</v>
      </c>
      <c r="B52" s="159" t="s">
        <v>34</v>
      </c>
      <c r="C52" s="175">
        <v>0</v>
      </c>
      <c r="D52" s="175">
        <v>0</v>
      </c>
      <c r="E52" s="175">
        <v>0</v>
      </c>
      <c r="F52" s="178">
        <f>SUM(C52:E52)</f>
        <v>0</v>
      </c>
    </row>
    <row r="53" spans="1:6" ht="25.15" customHeight="1" thickBot="1">
      <c r="A53" s="192">
        <v>22</v>
      </c>
      <c r="B53" s="100" t="s">
        <v>35</v>
      </c>
      <c r="C53" s="149">
        <f>SUM(C43:C52)</f>
        <v>39500</v>
      </c>
      <c r="D53" s="149">
        <f>SUM(D43:D52)</f>
        <v>0</v>
      </c>
      <c r="E53" s="149">
        <f>SUM(E43:E52)</f>
        <v>39500</v>
      </c>
      <c r="F53" s="151">
        <f>SUM(D53:E53)</f>
        <v>39500</v>
      </c>
    </row>
    <row r="54" spans="1:6" ht="18" customHeight="1" thickBot="1">
      <c r="A54" s="167">
        <v>23</v>
      </c>
      <c r="B54" s="162" t="s">
        <v>36</v>
      </c>
      <c r="C54" s="177">
        <v>0</v>
      </c>
      <c r="D54" s="177"/>
      <c r="E54" s="177">
        <v>0</v>
      </c>
      <c r="F54" s="179">
        <f>SUM(C54:E54)</f>
        <v>0</v>
      </c>
    </row>
    <row r="55" spans="1:6" ht="25.15" customHeight="1" thickBot="1">
      <c r="A55" s="192">
        <v>24</v>
      </c>
      <c r="B55" s="100" t="s">
        <v>59</v>
      </c>
      <c r="C55" s="149">
        <f>SUM(C53:C54)</f>
        <v>39500</v>
      </c>
      <c r="D55" s="149">
        <f>SUM(D53:D54)</f>
        <v>0</v>
      </c>
      <c r="E55" s="149">
        <f>SUM(E53:E54)</f>
        <v>39500</v>
      </c>
      <c r="F55" s="151">
        <f>SUM(D55:E55)</f>
        <v>39500</v>
      </c>
    </row>
    <row r="56" spans="1:6">
      <c r="A56" s="155"/>
      <c r="B56" s="156"/>
      <c r="C56" s="157"/>
      <c r="D56" s="157"/>
      <c r="E56" s="157"/>
      <c r="F56" s="157"/>
    </row>
    <row r="57" spans="1:6">
      <c r="A57" s="1905" t="s">
        <v>510</v>
      </c>
      <c r="B57" s="1905"/>
      <c r="C57" s="1905"/>
      <c r="D57" s="1905"/>
      <c r="E57" s="1905"/>
      <c r="F57" s="1905"/>
    </row>
    <row r="58" spans="1:6" ht="15.75" thickBot="1">
      <c r="A58" s="168"/>
      <c r="B58" s="168"/>
      <c r="C58" s="168"/>
      <c r="D58" s="168"/>
      <c r="E58" s="168"/>
      <c r="F58" s="168"/>
    </row>
    <row r="59" spans="1:6" ht="46.9" customHeight="1" thickBot="1">
      <c r="A59" s="173"/>
      <c r="B59" s="582" t="s">
        <v>110</v>
      </c>
      <c r="C59" s="582" t="s">
        <v>14</v>
      </c>
      <c r="D59" s="582" t="s">
        <v>297</v>
      </c>
      <c r="E59" s="582" t="s">
        <v>469</v>
      </c>
      <c r="F59" s="583" t="s">
        <v>176</v>
      </c>
    </row>
    <row r="60" spans="1:6" ht="18" customHeight="1">
      <c r="A60" s="138">
        <v>1</v>
      </c>
      <c r="B60" s="101" t="s">
        <v>17</v>
      </c>
      <c r="C60" s="147">
        <v>25500</v>
      </c>
      <c r="D60" s="147">
        <v>0</v>
      </c>
      <c r="E60" s="147">
        <v>25500</v>
      </c>
      <c r="F60" s="148">
        <f>SUM(D60:E60)</f>
        <v>25500</v>
      </c>
    </row>
    <row r="61" spans="1:6" ht="18" customHeight="1">
      <c r="A61" s="135">
        <v>2</v>
      </c>
      <c r="B61" s="61" t="s">
        <v>18</v>
      </c>
      <c r="C61" s="143">
        <v>0</v>
      </c>
      <c r="D61" s="143">
        <v>0</v>
      </c>
      <c r="E61" s="143">
        <v>0</v>
      </c>
      <c r="F61" s="144">
        <f t="shared" ref="F61:F83" si="6">SUM(D61:E61)</f>
        <v>0</v>
      </c>
    </row>
    <row r="62" spans="1:6" ht="18" customHeight="1">
      <c r="A62" s="135">
        <v>3</v>
      </c>
      <c r="B62" s="61" t="s">
        <v>19</v>
      </c>
      <c r="C62" s="143">
        <v>0</v>
      </c>
      <c r="D62" s="143">
        <v>0</v>
      </c>
      <c r="E62" s="143">
        <v>4500</v>
      </c>
      <c r="F62" s="144">
        <f t="shared" si="6"/>
        <v>4500</v>
      </c>
    </row>
    <row r="63" spans="1:6" ht="18" customHeight="1">
      <c r="A63" s="135">
        <v>4</v>
      </c>
      <c r="B63" s="61" t="s">
        <v>20</v>
      </c>
      <c r="C63" s="143">
        <v>4500</v>
      </c>
      <c r="D63" s="143">
        <v>993</v>
      </c>
      <c r="E63" s="143">
        <v>626</v>
      </c>
      <c r="F63" s="144">
        <f t="shared" si="6"/>
        <v>1619</v>
      </c>
    </row>
    <row r="64" spans="1:6" ht="18" customHeight="1">
      <c r="A64" s="135">
        <v>5</v>
      </c>
      <c r="B64" s="61" t="s">
        <v>21</v>
      </c>
      <c r="C64" s="143">
        <v>0</v>
      </c>
      <c r="D64" s="143">
        <v>0</v>
      </c>
      <c r="E64" s="143">
        <v>0</v>
      </c>
      <c r="F64" s="144">
        <f t="shared" si="6"/>
        <v>0</v>
      </c>
    </row>
    <row r="65" spans="1:6" ht="18" customHeight="1">
      <c r="A65" s="135">
        <v>6</v>
      </c>
      <c r="B65" s="61" t="s">
        <v>22</v>
      </c>
      <c r="C65" s="143">
        <v>0</v>
      </c>
      <c r="D65" s="143">
        <v>0</v>
      </c>
      <c r="E65" s="143"/>
      <c r="F65" s="144">
        <f t="shared" si="6"/>
        <v>0</v>
      </c>
    </row>
    <row r="66" spans="1:6" ht="18" customHeight="1">
      <c r="A66" s="135">
        <v>7</v>
      </c>
      <c r="B66" s="61" t="s">
        <v>23</v>
      </c>
      <c r="C66" s="143">
        <v>0</v>
      </c>
      <c r="D66" s="143">
        <v>0</v>
      </c>
      <c r="E66" s="143">
        <v>0</v>
      </c>
      <c r="F66" s="144">
        <f t="shared" si="6"/>
        <v>0</v>
      </c>
    </row>
    <row r="67" spans="1:6" ht="18" customHeight="1">
      <c r="A67" s="135">
        <v>8</v>
      </c>
      <c r="B67" s="61" t="s">
        <v>24</v>
      </c>
      <c r="C67" s="143">
        <v>0</v>
      </c>
      <c r="D67" s="143">
        <v>0</v>
      </c>
      <c r="E67" s="143">
        <v>0</v>
      </c>
      <c r="F67" s="144">
        <f t="shared" si="6"/>
        <v>0</v>
      </c>
    </row>
    <row r="68" spans="1:6" ht="18" customHeight="1">
      <c r="A68" s="135">
        <v>9</v>
      </c>
      <c r="B68" s="61" t="s">
        <v>25</v>
      </c>
      <c r="C68" s="143">
        <v>7500</v>
      </c>
      <c r="D68" s="143">
        <v>4118</v>
      </c>
      <c r="E68" s="143">
        <v>4050</v>
      </c>
      <c r="F68" s="144">
        <f t="shared" si="6"/>
        <v>8168</v>
      </c>
    </row>
    <row r="69" spans="1:6" ht="18" customHeight="1" thickBot="1">
      <c r="A69" s="163">
        <v>10</v>
      </c>
      <c r="B69" s="180" t="s">
        <v>26</v>
      </c>
      <c r="C69" s="181">
        <v>0</v>
      </c>
      <c r="D69" s="181">
        <v>15970</v>
      </c>
      <c r="E69" s="181">
        <v>-15300</v>
      </c>
      <c r="F69" s="758">
        <f t="shared" si="6"/>
        <v>670</v>
      </c>
    </row>
    <row r="70" spans="1:6" ht="25.15" customHeight="1" thickBot="1">
      <c r="A70" s="192">
        <v>11</v>
      </c>
      <c r="B70" s="100" t="s">
        <v>27</v>
      </c>
      <c r="C70" s="149">
        <f>SUM(C60:C69)</f>
        <v>37500</v>
      </c>
      <c r="D70" s="149">
        <f>SUM(D60:D68)</f>
        <v>5111</v>
      </c>
      <c r="E70" s="581">
        <f>SUM(E60:E68)</f>
        <v>34676</v>
      </c>
      <c r="F70" s="151">
        <f t="shared" si="6"/>
        <v>39787</v>
      </c>
    </row>
    <row r="71" spans="1:6" ht="18" customHeight="1">
      <c r="A71" s="138">
        <v>12</v>
      </c>
      <c r="B71" s="101" t="s">
        <v>28</v>
      </c>
      <c r="C71" s="147">
        <v>30000</v>
      </c>
      <c r="D71" s="147">
        <v>15970</v>
      </c>
      <c r="E71" s="147">
        <v>15000</v>
      </c>
      <c r="F71" s="148">
        <f t="shared" si="6"/>
        <v>30970</v>
      </c>
    </row>
    <row r="72" spans="1:6" ht="18" customHeight="1">
      <c r="A72" s="135">
        <v>13</v>
      </c>
      <c r="B72" s="61" t="s">
        <v>29</v>
      </c>
      <c r="C72" s="143">
        <v>7500</v>
      </c>
      <c r="D72" s="143">
        <v>4118</v>
      </c>
      <c r="E72" s="143">
        <v>4050</v>
      </c>
      <c r="F72" s="144">
        <f t="shared" si="6"/>
        <v>8168</v>
      </c>
    </row>
    <row r="73" spans="1:6" ht="18" customHeight="1">
      <c r="A73" s="135">
        <v>14</v>
      </c>
      <c r="B73" s="61" t="s">
        <v>30</v>
      </c>
      <c r="C73" s="143">
        <v>0</v>
      </c>
      <c r="D73" s="143">
        <v>0</v>
      </c>
      <c r="E73" s="143">
        <v>0</v>
      </c>
      <c r="F73" s="144">
        <f t="shared" si="6"/>
        <v>0</v>
      </c>
    </row>
    <row r="74" spans="1:6" ht="18" customHeight="1">
      <c r="A74" s="135">
        <v>15</v>
      </c>
      <c r="B74" s="61" t="s">
        <v>31</v>
      </c>
      <c r="C74" s="143">
        <v>0</v>
      </c>
      <c r="D74" s="143">
        <v>0</v>
      </c>
      <c r="E74" s="143">
        <v>0</v>
      </c>
      <c r="F74" s="144">
        <f t="shared" si="6"/>
        <v>0</v>
      </c>
    </row>
    <row r="75" spans="1:6" ht="18" customHeight="1">
      <c r="A75" s="135">
        <v>16</v>
      </c>
      <c r="B75" s="61" t="s">
        <v>40</v>
      </c>
      <c r="C75" s="143">
        <v>0</v>
      </c>
      <c r="D75" s="143">
        <v>0</v>
      </c>
      <c r="E75" s="143">
        <v>0</v>
      </c>
      <c r="F75" s="144">
        <f t="shared" si="6"/>
        <v>0</v>
      </c>
    </row>
    <row r="76" spans="1:6" ht="18" customHeight="1">
      <c r="A76" s="135">
        <v>17</v>
      </c>
      <c r="B76" s="61" t="s">
        <v>41</v>
      </c>
      <c r="C76" s="143">
        <v>0</v>
      </c>
      <c r="D76" s="143">
        <v>0</v>
      </c>
      <c r="E76" s="143">
        <v>0</v>
      </c>
      <c r="F76" s="144">
        <f t="shared" si="6"/>
        <v>0</v>
      </c>
    </row>
    <row r="77" spans="1:6" ht="18" customHeight="1">
      <c r="A77" s="135">
        <v>18</v>
      </c>
      <c r="B77" s="61" t="s">
        <v>48</v>
      </c>
      <c r="C77" s="143">
        <v>0</v>
      </c>
      <c r="D77" s="143">
        <v>0</v>
      </c>
      <c r="E77" s="143">
        <v>0</v>
      </c>
      <c r="F77" s="144">
        <f t="shared" si="6"/>
        <v>0</v>
      </c>
    </row>
    <row r="78" spans="1:6" ht="18" customHeight="1">
      <c r="A78" s="135">
        <v>19</v>
      </c>
      <c r="B78" s="61" t="s">
        <v>32</v>
      </c>
      <c r="C78" s="143">
        <v>0</v>
      </c>
      <c r="D78" s="143">
        <v>0</v>
      </c>
      <c r="E78" s="143">
        <v>0</v>
      </c>
      <c r="F78" s="144">
        <f t="shared" si="6"/>
        <v>0</v>
      </c>
    </row>
    <row r="79" spans="1:6" ht="18" customHeight="1">
      <c r="A79" s="135">
        <v>20</v>
      </c>
      <c r="B79" s="61" t="s">
        <v>33</v>
      </c>
      <c r="C79" s="143">
        <v>0</v>
      </c>
      <c r="D79" s="143">
        <v>0</v>
      </c>
      <c r="E79" s="143">
        <v>0</v>
      </c>
      <c r="F79" s="144">
        <f t="shared" si="6"/>
        <v>0</v>
      </c>
    </row>
    <row r="80" spans="1:6" ht="18" customHeight="1" thickBot="1">
      <c r="A80" s="165">
        <v>21</v>
      </c>
      <c r="B80" s="159" t="s">
        <v>34</v>
      </c>
      <c r="C80" s="175">
        <v>0</v>
      </c>
      <c r="D80" s="175">
        <v>0</v>
      </c>
      <c r="E80" s="175">
        <v>0</v>
      </c>
      <c r="F80" s="146">
        <f t="shared" si="6"/>
        <v>0</v>
      </c>
    </row>
    <row r="81" spans="1:6" ht="25.15" customHeight="1" thickBot="1">
      <c r="A81" s="192">
        <v>22</v>
      </c>
      <c r="B81" s="100" t="s">
        <v>35</v>
      </c>
      <c r="C81" s="149">
        <f>SUM(C71:C80)</f>
        <v>37500</v>
      </c>
      <c r="D81" s="149">
        <f>SUM(D71:D80)</f>
        <v>20088</v>
      </c>
      <c r="E81" s="149">
        <f>SUM(E71:E80)</f>
        <v>19050</v>
      </c>
      <c r="F81" s="151">
        <f t="shared" si="6"/>
        <v>39138</v>
      </c>
    </row>
    <row r="82" spans="1:6" ht="18" customHeight="1" thickBot="1">
      <c r="A82" s="167">
        <v>23</v>
      </c>
      <c r="B82" s="162" t="s">
        <v>36</v>
      </c>
      <c r="C82" s="177">
        <v>0</v>
      </c>
      <c r="D82" s="177">
        <v>23</v>
      </c>
      <c r="E82" s="177">
        <v>626</v>
      </c>
      <c r="F82" s="179">
        <f t="shared" si="6"/>
        <v>649</v>
      </c>
    </row>
    <row r="83" spans="1:6" ht="25.15" customHeight="1" thickBot="1">
      <c r="A83" s="192">
        <v>24</v>
      </c>
      <c r="B83" s="100" t="s">
        <v>59</v>
      </c>
      <c r="C83" s="149">
        <f>SUM(C81:C82)</f>
        <v>37500</v>
      </c>
      <c r="D83" s="149">
        <f>SUM(D81:D82)</f>
        <v>20111</v>
      </c>
      <c r="E83" s="149">
        <f>SUM(E81:E82)</f>
        <v>19676</v>
      </c>
      <c r="F83" s="151">
        <f t="shared" si="6"/>
        <v>39787</v>
      </c>
    </row>
    <row r="84" spans="1:6">
      <c r="A84" s="171"/>
      <c r="B84" s="171"/>
      <c r="C84" s="171"/>
      <c r="D84" s="171"/>
      <c r="E84" s="171"/>
      <c r="F84" s="171"/>
    </row>
    <row r="85" spans="1:6" ht="13.9" customHeight="1">
      <c r="A85" s="1906" t="s">
        <v>511</v>
      </c>
      <c r="B85" s="1906"/>
      <c r="C85" s="1906"/>
      <c r="D85" s="1906"/>
      <c r="E85" s="1906"/>
      <c r="F85" s="1906"/>
    </row>
    <row r="86" spans="1:6" ht="15.75" thickBot="1">
      <c r="A86" s="154"/>
      <c r="B86" s="172"/>
      <c r="C86" s="172"/>
      <c r="D86" s="172"/>
      <c r="E86" s="172"/>
      <c r="F86" s="172"/>
    </row>
    <row r="87" spans="1:6" ht="57.75" thickBot="1">
      <c r="A87" s="173"/>
      <c r="B87" s="582" t="s">
        <v>110</v>
      </c>
      <c r="C87" s="582" t="s">
        <v>14</v>
      </c>
      <c r="D87" s="582" t="s">
        <v>468</v>
      </c>
      <c r="E87" s="582" t="s">
        <v>512</v>
      </c>
      <c r="F87" s="583" t="s">
        <v>176</v>
      </c>
    </row>
    <row r="88" spans="1:6" ht="18" customHeight="1">
      <c r="A88" s="138">
        <v>1</v>
      </c>
      <c r="B88" s="101" t="s">
        <v>17</v>
      </c>
      <c r="C88" s="147">
        <v>422089</v>
      </c>
      <c r="D88" s="147">
        <v>344045</v>
      </c>
      <c r="E88" s="147">
        <v>78044</v>
      </c>
      <c r="F88" s="148">
        <f>SUM(D88:E88)</f>
        <v>422089</v>
      </c>
    </row>
    <row r="89" spans="1:6" ht="18" customHeight="1">
      <c r="A89" s="135">
        <v>2</v>
      </c>
      <c r="B89" s="61" t="s">
        <v>18</v>
      </c>
      <c r="C89" s="143">
        <v>0</v>
      </c>
      <c r="D89" s="143"/>
      <c r="E89" s="143">
        <f>SUM(B89:C89)</f>
        <v>0</v>
      </c>
      <c r="F89" s="144">
        <f>SUM(C89:D89)</f>
        <v>0</v>
      </c>
    </row>
    <row r="90" spans="1:6" ht="18" customHeight="1">
      <c r="A90" s="135">
        <v>3</v>
      </c>
      <c r="B90" s="61" t="s">
        <v>19</v>
      </c>
      <c r="C90" s="143">
        <v>58708</v>
      </c>
      <c r="D90" s="143">
        <v>47853</v>
      </c>
      <c r="E90" s="143">
        <v>10855</v>
      </c>
      <c r="F90" s="148">
        <f>SUM(D90:E90)</f>
        <v>58708</v>
      </c>
    </row>
    <row r="91" spans="1:6" ht="18" customHeight="1">
      <c r="A91" s="135">
        <v>4</v>
      </c>
      <c r="B91" s="61" t="s">
        <v>20</v>
      </c>
      <c r="C91" s="143">
        <v>0</v>
      </c>
      <c r="D91" s="143">
        <v>0</v>
      </c>
      <c r="E91" s="143">
        <f>SUM(B91:C91)</f>
        <v>0</v>
      </c>
      <c r="F91" s="144">
        <f>SUM(C91:D91)</f>
        <v>0</v>
      </c>
    </row>
    <row r="92" spans="1:6" ht="18" customHeight="1">
      <c r="A92" s="135">
        <v>5</v>
      </c>
      <c r="B92" s="61" t="s">
        <v>21</v>
      </c>
      <c r="C92" s="143">
        <v>0</v>
      </c>
      <c r="D92" s="143">
        <v>0</v>
      </c>
      <c r="E92" s="143">
        <f t="shared" ref="E92:F95" si="7">SUM(B92:C92)</f>
        <v>0</v>
      </c>
      <c r="F92" s="144">
        <f t="shared" si="7"/>
        <v>0</v>
      </c>
    </row>
    <row r="93" spans="1:6" ht="18" customHeight="1">
      <c r="A93" s="135">
        <v>6</v>
      </c>
      <c r="B93" s="61" t="s">
        <v>22</v>
      </c>
      <c r="C93" s="143">
        <v>0</v>
      </c>
      <c r="D93" s="143">
        <v>0</v>
      </c>
      <c r="E93" s="143">
        <f t="shared" si="7"/>
        <v>0</v>
      </c>
      <c r="F93" s="144">
        <f t="shared" si="7"/>
        <v>0</v>
      </c>
    </row>
    <row r="94" spans="1:6" ht="18" customHeight="1">
      <c r="A94" s="135">
        <v>7</v>
      </c>
      <c r="B94" s="61" t="s">
        <v>23</v>
      </c>
      <c r="C94" s="143">
        <v>0</v>
      </c>
      <c r="D94" s="143">
        <v>0</v>
      </c>
      <c r="E94" s="143">
        <f t="shared" si="7"/>
        <v>0</v>
      </c>
      <c r="F94" s="144">
        <f t="shared" si="7"/>
        <v>0</v>
      </c>
    </row>
    <row r="95" spans="1:6" ht="18" customHeight="1">
      <c r="A95" s="135">
        <v>8</v>
      </c>
      <c r="B95" s="61" t="s">
        <v>24</v>
      </c>
      <c r="C95" s="143">
        <v>0</v>
      </c>
      <c r="D95" s="143">
        <v>0</v>
      </c>
      <c r="E95" s="143">
        <f t="shared" si="7"/>
        <v>0</v>
      </c>
      <c r="F95" s="144">
        <f t="shared" si="7"/>
        <v>0</v>
      </c>
    </row>
    <row r="96" spans="1:6" ht="18" customHeight="1">
      <c r="A96" s="135">
        <v>9</v>
      </c>
      <c r="B96" s="61" t="s">
        <v>25</v>
      </c>
      <c r="C96" s="143">
        <v>129815</v>
      </c>
      <c r="D96" s="143">
        <v>105812</v>
      </c>
      <c r="E96" s="143">
        <v>24003</v>
      </c>
      <c r="F96" s="148">
        <f>SUM(D96:E96)</f>
        <v>129815</v>
      </c>
    </row>
    <row r="97" spans="1:6" ht="18" customHeight="1" thickBot="1">
      <c r="A97" s="165">
        <v>10</v>
      </c>
      <c r="B97" s="159" t="s">
        <v>26</v>
      </c>
      <c r="C97" s="175">
        <v>0</v>
      </c>
      <c r="D97" s="145"/>
      <c r="E97" s="145">
        <f>SUM(B97:C97)</f>
        <v>0</v>
      </c>
      <c r="F97" s="146">
        <f>SUM(C97:D97)</f>
        <v>0</v>
      </c>
    </row>
    <row r="98" spans="1:6" ht="25.15" customHeight="1" thickBot="1">
      <c r="A98" s="192">
        <v>11</v>
      </c>
      <c r="B98" s="100" t="s">
        <v>27</v>
      </c>
      <c r="C98" s="149">
        <f>SUM(C88:C97)</f>
        <v>610612</v>
      </c>
      <c r="D98" s="149">
        <f>SUM(D88:D97)</f>
        <v>497710</v>
      </c>
      <c r="E98" s="149">
        <f>SUM(E88:E97)</f>
        <v>112902</v>
      </c>
      <c r="F98" s="151">
        <f>SUM(D98:E98)</f>
        <v>610612</v>
      </c>
    </row>
    <row r="99" spans="1:6" ht="18" customHeight="1">
      <c r="A99" s="138">
        <v>12</v>
      </c>
      <c r="B99" s="101" t="s">
        <v>28</v>
      </c>
      <c r="C99" s="147">
        <v>480797</v>
      </c>
      <c r="D99" s="147">
        <v>391898</v>
      </c>
      <c r="E99" s="147">
        <v>88899</v>
      </c>
      <c r="F99" s="148">
        <f>SUM(D99:E99)</f>
        <v>480797</v>
      </c>
    </row>
    <row r="100" spans="1:6" ht="18" customHeight="1">
      <c r="A100" s="135">
        <v>13</v>
      </c>
      <c r="B100" s="61" t="s">
        <v>29</v>
      </c>
      <c r="C100" s="143">
        <v>129815</v>
      </c>
      <c r="D100" s="143">
        <v>105812</v>
      </c>
      <c r="E100" s="143">
        <v>24003</v>
      </c>
      <c r="F100" s="148">
        <f>SUM(D100:E100)</f>
        <v>129815</v>
      </c>
    </row>
    <row r="101" spans="1:6" ht="18" customHeight="1">
      <c r="A101" s="135">
        <v>14</v>
      </c>
      <c r="B101" s="61" t="s">
        <v>30</v>
      </c>
      <c r="C101" s="143">
        <v>0</v>
      </c>
      <c r="D101" s="143"/>
      <c r="E101" s="143">
        <f t="shared" ref="E101:F108" si="8">SUM(B101:C101)</f>
        <v>0</v>
      </c>
      <c r="F101" s="144">
        <f t="shared" si="8"/>
        <v>0</v>
      </c>
    </row>
    <row r="102" spans="1:6" ht="18" customHeight="1">
      <c r="A102" s="135">
        <v>15</v>
      </c>
      <c r="B102" s="61" t="s">
        <v>31</v>
      </c>
      <c r="C102" s="143">
        <v>0</v>
      </c>
      <c r="D102" s="143"/>
      <c r="E102" s="143">
        <f t="shared" si="8"/>
        <v>0</v>
      </c>
      <c r="F102" s="144">
        <f t="shared" si="8"/>
        <v>0</v>
      </c>
    </row>
    <row r="103" spans="1:6" ht="18" customHeight="1">
      <c r="A103" s="135">
        <v>16</v>
      </c>
      <c r="B103" s="61" t="s">
        <v>40</v>
      </c>
      <c r="C103" s="143">
        <v>0</v>
      </c>
      <c r="D103" s="143"/>
      <c r="E103" s="143">
        <f t="shared" si="8"/>
        <v>0</v>
      </c>
      <c r="F103" s="144">
        <f t="shared" si="8"/>
        <v>0</v>
      </c>
    </row>
    <row r="104" spans="1:6" ht="18" customHeight="1">
      <c r="A104" s="135">
        <v>17</v>
      </c>
      <c r="B104" s="61" t="s">
        <v>41</v>
      </c>
      <c r="C104" s="143">
        <v>0</v>
      </c>
      <c r="D104" s="143"/>
      <c r="E104" s="143">
        <f t="shared" si="8"/>
        <v>0</v>
      </c>
      <c r="F104" s="144">
        <f t="shared" si="8"/>
        <v>0</v>
      </c>
    </row>
    <row r="105" spans="1:6" ht="18" customHeight="1">
      <c r="A105" s="135">
        <v>18</v>
      </c>
      <c r="B105" s="61" t="s">
        <v>48</v>
      </c>
      <c r="C105" s="143">
        <v>0</v>
      </c>
      <c r="D105" s="143"/>
      <c r="E105" s="143">
        <f t="shared" si="8"/>
        <v>0</v>
      </c>
      <c r="F105" s="144">
        <f t="shared" si="8"/>
        <v>0</v>
      </c>
    </row>
    <row r="106" spans="1:6" ht="18" customHeight="1">
      <c r="A106" s="135">
        <v>19</v>
      </c>
      <c r="B106" s="61" t="s">
        <v>32</v>
      </c>
      <c r="C106" s="143">
        <v>0</v>
      </c>
      <c r="D106" s="143"/>
      <c r="E106" s="143">
        <f t="shared" si="8"/>
        <v>0</v>
      </c>
      <c r="F106" s="144">
        <f t="shared" si="8"/>
        <v>0</v>
      </c>
    </row>
    <row r="107" spans="1:6" ht="18" customHeight="1">
      <c r="A107" s="135">
        <v>20</v>
      </c>
      <c r="B107" s="61" t="s">
        <v>33</v>
      </c>
      <c r="C107" s="143">
        <v>0</v>
      </c>
      <c r="D107" s="143"/>
      <c r="E107" s="143">
        <f t="shared" si="8"/>
        <v>0</v>
      </c>
      <c r="F107" s="144">
        <f t="shared" si="8"/>
        <v>0</v>
      </c>
    </row>
    <row r="108" spans="1:6" ht="18" customHeight="1" thickBot="1">
      <c r="A108" s="165">
        <v>21</v>
      </c>
      <c r="B108" s="159" t="s">
        <v>34</v>
      </c>
      <c r="C108" s="175">
        <v>0</v>
      </c>
      <c r="D108" s="145"/>
      <c r="E108" s="145">
        <f t="shared" si="8"/>
        <v>0</v>
      </c>
      <c r="F108" s="146">
        <f t="shared" si="8"/>
        <v>0</v>
      </c>
    </row>
    <row r="109" spans="1:6" ht="25.15" customHeight="1" thickBot="1">
      <c r="A109" s="194">
        <v>22</v>
      </c>
      <c r="B109" s="100" t="s">
        <v>35</v>
      </c>
      <c r="C109" s="149">
        <f>SUM(C99:C108)</f>
        <v>610612</v>
      </c>
      <c r="D109" s="149">
        <f>SUM(D99:D108)</f>
        <v>497710</v>
      </c>
      <c r="E109" s="149">
        <f>SUM(E99:E108)</f>
        <v>112902</v>
      </c>
      <c r="F109" s="151">
        <f>SUM(D109:E109)</f>
        <v>610612</v>
      </c>
    </row>
    <row r="110" spans="1:6" ht="18" customHeight="1" thickBot="1">
      <c r="A110" s="167">
        <v>23</v>
      </c>
      <c r="B110" s="162" t="s">
        <v>36</v>
      </c>
      <c r="C110" s="177">
        <v>0</v>
      </c>
      <c r="D110" s="177"/>
      <c r="E110" s="177">
        <f>SUM(B110:C110)</f>
        <v>0</v>
      </c>
      <c r="F110" s="179">
        <f>SUM(C110:D110)</f>
        <v>0</v>
      </c>
    </row>
    <row r="111" spans="1:6" ht="25.15" customHeight="1" thickBot="1">
      <c r="A111" s="194">
        <v>24</v>
      </c>
      <c r="B111" s="100" t="s">
        <v>59</v>
      </c>
      <c r="C111" s="149">
        <f>SUM(C109:C110)</f>
        <v>610612</v>
      </c>
      <c r="D111" s="149">
        <f>SUM(D109:D110)</f>
        <v>497710</v>
      </c>
      <c r="E111" s="149">
        <v>112902</v>
      </c>
      <c r="F111" s="151">
        <f>SUM(D111:E111)</f>
        <v>610612</v>
      </c>
    </row>
    <row r="113" spans="1:6" ht="21.6" customHeight="1" thickBot="1">
      <c r="A113" s="1905" t="s">
        <v>513</v>
      </c>
      <c r="B113" s="1905"/>
      <c r="C113" s="1905"/>
      <c r="D113" s="1905"/>
      <c r="E113" s="1905"/>
      <c r="F113" s="1905"/>
    </row>
    <row r="114" spans="1:6" ht="46.15" customHeight="1" thickBot="1">
      <c r="A114" s="173"/>
      <c r="B114" s="582" t="s">
        <v>110</v>
      </c>
      <c r="C114" s="582" t="s">
        <v>14</v>
      </c>
      <c r="D114" s="582" t="s">
        <v>468</v>
      </c>
      <c r="E114" s="583" t="s">
        <v>176</v>
      </c>
    </row>
    <row r="115" spans="1:6" ht="18" customHeight="1">
      <c r="A115" s="138">
        <v>1</v>
      </c>
      <c r="B115" s="101" t="s">
        <v>17</v>
      </c>
      <c r="C115" s="147">
        <v>25208</v>
      </c>
      <c r="D115" s="147">
        <v>25208</v>
      </c>
      <c r="E115" s="148">
        <v>25208</v>
      </c>
    </row>
    <row r="116" spans="1:6" ht="18" customHeight="1">
      <c r="A116" s="135">
        <v>2</v>
      </c>
      <c r="B116" s="61" t="s">
        <v>18</v>
      </c>
      <c r="C116" s="143">
        <v>0</v>
      </c>
      <c r="D116" s="143">
        <v>0</v>
      </c>
      <c r="E116" s="144">
        <f t="shared" ref="E116:E137" si="9">SUM(C116:D116)</f>
        <v>0</v>
      </c>
    </row>
    <row r="117" spans="1:6" ht="18" customHeight="1">
      <c r="A117" s="135">
        <v>3</v>
      </c>
      <c r="B117" s="61" t="s">
        <v>19</v>
      </c>
      <c r="C117" s="143">
        <v>0</v>
      </c>
      <c r="D117" s="143">
        <v>0</v>
      </c>
      <c r="E117" s="144">
        <f t="shared" si="9"/>
        <v>0</v>
      </c>
    </row>
    <row r="118" spans="1:6" ht="18" customHeight="1">
      <c r="A118" s="135">
        <v>4</v>
      </c>
      <c r="B118" s="61" t="s">
        <v>20</v>
      </c>
      <c r="C118" s="143">
        <v>0</v>
      </c>
      <c r="D118" s="143">
        <v>0</v>
      </c>
      <c r="E118" s="144">
        <f t="shared" si="9"/>
        <v>0</v>
      </c>
    </row>
    <row r="119" spans="1:6" ht="18" customHeight="1">
      <c r="A119" s="135">
        <v>5</v>
      </c>
      <c r="B119" s="61" t="s">
        <v>21</v>
      </c>
      <c r="C119" s="143">
        <v>0</v>
      </c>
      <c r="D119" s="143">
        <v>0</v>
      </c>
      <c r="E119" s="144">
        <f t="shared" si="9"/>
        <v>0</v>
      </c>
    </row>
    <row r="120" spans="1:6" ht="18" customHeight="1">
      <c r="A120" s="135">
        <v>6</v>
      </c>
      <c r="B120" s="61" t="s">
        <v>22</v>
      </c>
      <c r="C120" s="143">
        <v>0</v>
      </c>
      <c r="D120" s="143">
        <v>0</v>
      </c>
      <c r="E120" s="144">
        <f t="shared" si="9"/>
        <v>0</v>
      </c>
    </row>
    <row r="121" spans="1:6" ht="18" customHeight="1">
      <c r="A121" s="135">
        <v>7</v>
      </c>
      <c r="B121" s="61" t="s">
        <v>23</v>
      </c>
      <c r="C121" s="143">
        <v>0</v>
      </c>
      <c r="D121" s="143">
        <v>0</v>
      </c>
      <c r="E121" s="144">
        <f t="shared" si="9"/>
        <v>0</v>
      </c>
    </row>
    <row r="122" spans="1:6" ht="18" customHeight="1">
      <c r="A122" s="135">
        <v>8</v>
      </c>
      <c r="B122" s="61" t="s">
        <v>24</v>
      </c>
      <c r="C122" s="143">
        <v>0</v>
      </c>
      <c r="D122" s="143">
        <v>0</v>
      </c>
      <c r="E122" s="144">
        <f t="shared" si="9"/>
        <v>0</v>
      </c>
    </row>
    <row r="123" spans="1:6" ht="18" customHeight="1">
      <c r="A123" s="135">
        <v>9</v>
      </c>
      <c r="B123" s="61" t="s">
        <v>25</v>
      </c>
      <c r="C123" s="143">
        <v>0</v>
      </c>
      <c r="D123" s="143">
        <v>0</v>
      </c>
      <c r="E123" s="144">
        <v>0</v>
      </c>
    </row>
    <row r="124" spans="1:6" ht="18" customHeight="1" thickBot="1">
      <c r="A124" s="165">
        <v>10</v>
      </c>
      <c r="B124" s="159" t="s">
        <v>26</v>
      </c>
      <c r="C124" s="175">
        <v>0</v>
      </c>
      <c r="D124" s="175">
        <v>0</v>
      </c>
      <c r="E124" s="146">
        <f t="shared" si="9"/>
        <v>0</v>
      </c>
    </row>
    <row r="125" spans="1:6" ht="25.15" customHeight="1" thickBot="1">
      <c r="A125" s="192">
        <v>11</v>
      </c>
      <c r="B125" s="100" t="s">
        <v>27</v>
      </c>
      <c r="C125" s="149">
        <f>SUM(C115:C124)</f>
        <v>25208</v>
      </c>
      <c r="D125" s="149">
        <f>SUM(D115:D123)</f>
        <v>25208</v>
      </c>
      <c r="E125" s="151">
        <f>SUM(E115:E123)</f>
        <v>25208</v>
      </c>
    </row>
    <row r="126" spans="1:6" ht="18" customHeight="1">
      <c r="A126" s="138">
        <v>12</v>
      </c>
      <c r="B126" s="101" t="s">
        <v>28</v>
      </c>
      <c r="C126" s="147">
        <v>19848</v>
      </c>
      <c r="D126" s="147">
        <v>19848</v>
      </c>
      <c r="E126" s="148">
        <v>19848</v>
      </c>
    </row>
    <row r="127" spans="1:6" ht="18" customHeight="1">
      <c r="A127" s="135">
        <v>13</v>
      </c>
      <c r="B127" s="61" t="s">
        <v>29</v>
      </c>
      <c r="C127" s="143">
        <v>5360</v>
      </c>
      <c r="D127" s="143">
        <v>5360</v>
      </c>
      <c r="E127" s="144">
        <v>5360</v>
      </c>
    </row>
    <row r="128" spans="1:6" ht="18" customHeight="1">
      <c r="A128" s="135">
        <v>14</v>
      </c>
      <c r="B128" s="61" t="s">
        <v>30</v>
      </c>
      <c r="C128" s="143">
        <v>0</v>
      </c>
      <c r="D128" s="143">
        <v>0</v>
      </c>
      <c r="E128" s="144">
        <f t="shared" si="9"/>
        <v>0</v>
      </c>
    </row>
    <row r="129" spans="1:5" ht="18" customHeight="1">
      <c r="A129" s="135">
        <v>15</v>
      </c>
      <c r="B129" s="61" t="s">
        <v>31</v>
      </c>
      <c r="C129" s="143">
        <v>0</v>
      </c>
      <c r="D129" s="143">
        <v>0</v>
      </c>
      <c r="E129" s="144">
        <f t="shared" si="9"/>
        <v>0</v>
      </c>
    </row>
    <row r="130" spans="1:5" ht="18" customHeight="1">
      <c r="A130" s="135">
        <v>16</v>
      </c>
      <c r="B130" s="61" t="s">
        <v>40</v>
      </c>
      <c r="C130" s="143">
        <v>0</v>
      </c>
      <c r="D130" s="143">
        <v>0</v>
      </c>
      <c r="E130" s="144">
        <f t="shared" si="9"/>
        <v>0</v>
      </c>
    </row>
    <row r="131" spans="1:5" ht="18" customHeight="1">
      <c r="A131" s="135">
        <v>17</v>
      </c>
      <c r="B131" s="61" t="s">
        <v>41</v>
      </c>
      <c r="C131" s="143">
        <v>0</v>
      </c>
      <c r="D131" s="143">
        <v>0</v>
      </c>
      <c r="E131" s="144">
        <f t="shared" si="9"/>
        <v>0</v>
      </c>
    </row>
    <row r="132" spans="1:5" ht="18" customHeight="1">
      <c r="A132" s="135">
        <v>18</v>
      </c>
      <c r="B132" s="61" t="s">
        <v>48</v>
      </c>
      <c r="C132" s="143">
        <v>0</v>
      </c>
      <c r="D132" s="143">
        <v>0</v>
      </c>
      <c r="E132" s="144">
        <f t="shared" si="9"/>
        <v>0</v>
      </c>
    </row>
    <row r="133" spans="1:5" ht="18" customHeight="1">
      <c r="A133" s="135">
        <v>19</v>
      </c>
      <c r="B133" s="61" t="s">
        <v>32</v>
      </c>
      <c r="C133" s="143">
        <v>0</v>
      </c>
      <c r="D133" s="143">
        <v>0</v>
      </c>
      <c r="E133" s="144">
        <f t="shared" si="9"/>
        <v>0</v>
      </c>
    </row>
    <row r="134" spans="1:5" ht="18" customHeight="1">
      <c r="A134" s="135">
        <v>20</v>
      </c>
      <c r="B134" s="61" t="s">
        <v>33</v>
      </c>
      <c r="C134" s="143">
        <v>0</v>
      </c>
      <c r="D134" s="143">
        <v>0</v>
      </c>
      <c r="E134" s="144">
        <f t="shared" si="9"/>
        <v>0</v>
      </c>
    </row>
    <row r="135" spans="1:5" ht="18" customHeight="1" thickBot="1">
      <c r="A135" s="165">
        <v>21</v>
      </c>
      <c r="B135" s="159" t="s">
        <v>34</v>
      </c>
      <c r="C135" s="175">
        <v>0</v>
      </c>
      <c r="D135" s="175">
        <v>0</v>
      </c>
      <c r="E135" s="146">
        <f t="shared" si="9"/>
        <v>0</v>
      </c>
    </row>
    <row r="136" spans="1:5" ht="25.15" customHeight="1" thickBot="1">
      <c r="A136" s="192">
        <v>22</v>
      </c>
      <c r="B136" s="100" t="s">
        <v>35</v>
      </c>
      <c r="C136" s="149">
        <f>SUM(C126:C135)</f>
        <v>25208</v>
      </c>
      <c r="D136" s="149">
        <f>SUM(D126:D135)</f>
        <v>25208</v>
      </c>
      <c r="E136" s="151">
        <f>SUM(E126:E135)</f>
        <v>25208</v>
      </c>
    </row>
    <row r="137" spans="1:5" ht="18" customHeight="1" thickBot="1">
      <c r="A137" s="167">
        <v>23</v>
      </c>
      <c r="B137" s="162" t="s">
        <v>36</v>
      </c>
      <c r="C137" s="177">
        <v>0</v>
      </c>
      <c r="D137" s="177">
        <v>0</v>
      </c>
      <c r="E137" s="179">
        <f t="shared" si="9"/>
        <v>0</v>
      </c>
    </row>
    <row r="138" spans="1:5" ht="25.15" customHeight="1" thickBot="1">
      <c r="A138" s="192">
        <v>24</v>
      </c>
      <c r="B138" s="100" t="s">
        <v>59</v>
      </c>
      <c r="C138" s="149">
        <f>SUM(C136:C137)</f>
        <v>25208</v>
      </c>
      <c r="D138" s="149">
        <f>SUM(D136:D137)</f>
        <v>25208</v>
      </c>
      <c r="E138" s="151">
        <f>SUM(E136:E137)</f>
        <v>25208</v>
      </c>
    </row>
  </sheetData>
  <mergeCells count="6">
    <mergeCell ref="A113:F113"/>
    <mergeCell ref="A85:F85"/>
    <mergeCell ref="A1:J1"/>
    <mergeCell ref="B3:E3"/>
    <mergeCell ref="A30:F30"/>
    <mergeCell ref="A57:F57"/>
  </mergeCells>
  <phoneticPr fontId="14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48" fitToHeight="2" orientation="portrait" r:id="rId1"/>
  <headerFooter>
    <oddHeader>&amp;L&amp;"Arial,Dőlt"&amp;11 &amp;U11. melléklet a 15/2015. (V.29.) önkormányzati rendelethez</oddHeader>
    <oddFooter>&amp;C&amp;11Nagykőrös Város Önkormányzat 2014. évi zárszámadási rendelete</oddFooter>
  </headerFooter>
  <rowBreaks count="3" manualBreakCount="3">
    <brk id="56" max="9" man="1"/>
    <brk id="84" max="9" man="1"/>
    <brk id="112" max="9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O41"/>
  <sheetViews>
    <sheetView view="pageLayout" zoomScaleNormal="100" zoomScaleSheetLayoutView="80" workbookViewId="0">
      <selection activeCell="B7" sqref="B7"/>
    </sheetView>
  </sheetViews>
  <sheetFormatPr defaultColWidth="9.140625" defaultRowHeight="15"/>
  <cols>
    <col min="1" max="1" width="6.140625" style="200" customWidth="1"/>
    <col min="2" max="2" width="62.7109375" style="62" customWidth="1"/>
    <col min="3" max="3" width="14.7109375" style="202" customWidth="1"/>
    <col min="4" max="4" width="15.85546875" style="202" hidden="1" customWidth="1"/>
    <col min="5" max="8" width="14.7109375" style="202" hidden="1" customWidth="1"/>
    <col min="9" max="10" width="14.7109375" style="202" customWidth="1"/>
    <col min="11" max="11" width="20" style="202" bestFit="1" customWidth="1"/>
    <col min="12" max="14" width="14.7109375" style="62" customWidth="1"/>
    <col min="15" max="15" width="13.7109375" style="62" customWidth="1"/>
    <col min="16" max="16384" width="9.140625" style="62"/>
  </cols>
  <sheetData>
    <row r="1" spans="1:15" ht="22.5" customHeight="1"/>
    <row r="2" spans="1:15" s="195" customFormat="1" ht="39.75" customHeight="1">
      <c r="A2" s="1910" t="s">
        <v>446</v>
      </c>
      <c r="B2" s="1910"/>
      <c r="C2" s="1910"/>
      <c r="D2" s="1910"/>
      <c r="E2" s="1910"/>
      <c r="F2" s="1910"/>
      <c r="G2" s="1910"/>
      <c r="H2" s="1910"/>
      <c r="I2" s="1910"/>
      <c r="J2" s="1910"/>
      <c r="K2" s="1910"/>
      <c r="L2" s="1910"/>
      <c r="M2" s="1910"/>
      <c r="N2" s="1910"/>
    </row>
    <row r="3" spans="1:15" ht="20.45" customHeight="1" thickBot="1">
      <c r="A3" s="1909" t="s">
        <v>155</v>
      </c>
      <c r="B3" s="1909"/>
      <c r="C3" s="62"/>
      <c r="D3" s="62"/>
      <c r="E3" s="62"/>
      <c r="F3" s="62"/>
      <c r="G3" s="62"/>
      <c r="H3" s="62"/>
      <c r="I3" s="62"/>
      <c r="J3" s="62"/>
      <c r="K3" s="62"/>
    </row>
    <row r="4" spans="1:15" s="530" customFormat="1" ht="49.5" customHeight="1" thickBot="1">
      <c r="A4" s="528" t="s">
        <v>136</v>
      </c>
      <c r="B4" s="529" t="s">
        <v>110</v>
      </c>
      <c r="C4" s="525" t="s">
        <v>284</v>
      </c>
      <c r="D4" s="525" t="s">
        <v>815</v>
      </c>
      <c r="E4" s="525" t="s">
        <v>867</v>
      </c>
      <c r="F4" s="525" t="s">
        <v>871</v>
      </c>
      <c r="G4" s="525" t="s">
        <v>912</v>
      </c>
      <c r="H4" s="525" t="s">
        <v>871</v>
      </c>
      <c r="I4" s="1487" t="s">
        <v>960</v>
      </c>
      <c r="J4" s="1487" t="s">
        <v>954</v>
      </c>
      <c r="K4" s="122" t="s">
        <v>955</v>
      </c>
      <c r="L4" s="526" t="s">
        <v>318</v>
      </c>
      <c r="M4" s="526" t="s">
        <v>319</v>
      </c>
      <c r="N4" s="527" t="s">
        <v>302</v>
      </c>
    </row>
    <row r="5" spans="1:15" s="530" customFormat="1" ht="46.9" customHeight="1" thickBot="1">
      <c r="A5" s="531" t="s">
        <v>197</v>
      </c>
      <c r="B5" s="519" t="s">
        <v>157</v>
      </c>
      <c r="C5" s="496">
        <f t="shared" ref="C5:L5" si="0">C6+C7+C12+C13++C15+C16+C18+C14+C17</f>
        <v>45200</v>
      </c>
      <c r="D5" s="496">
        <f t="shared" si="0"/>
        <v>3030</v>
      </c>
      <c r="E5" s="496">
        <v>47565</v>
      </c>
      <c r="F5" s="496">
        <f>F6+F7+F12+F13++F15+F16+F18+F14+F17+F19</f>
        <v>5418</v>
      </c>
      <c r="G5" s="496">
        <f>G6+G7+G12+G13++G15+G16+G18+G14+G17+G19</f>
        <v>52983</v>
      </c>
      <c r="H5" s="496">
        <f>H6+H7+H12+H13++H15+H16+H18+H14+H17+H19</f>
        <v>0</v>
      </c>
      <c r="I5" s="496">
        <f>I6+I7+I12+I13++I15+I16+I18+I14+I17+I19</f>
        <v>52983</v>
      </c>
      <c r="J5" s="496">
        <f>J6+J7+J12+J13+J14+J15+J16+J17+J18+J19</f>
        <v>41774</v>
      </c>
      <c r="K5" s="1506">
        <f>J5/I5</f>
        <v>0.78844157559972061</v>
      </c>
      <c r="L5" s="496">
        <f t="shared" si="0"/>
        <v>0</v>
      </c>
      <c r="M5" s="496">
        <f>M6+M7+M12+M13++M15+M16+M18+M14+M17+M19</f>
        <v>52983</v>
      </c>
      <c r="N5" s="532"/>
      <c r="O5" s="986">
        <f>L5+M5+N5</f>
        <v>52983</v>
      </c>
    </row>
    <row r="6" spans="1:15" s="530" customFormat="1" ht="33.6" customHeight="1">
      <c r="A6" s="533" t="s">
        <v>60</v>
      </c>
      <c r="B6" s="534" t="s">
        <v>349</v>
      </c>
      <c r="C6" s="535">
        <v>15000</v>
      </c>
      <c r="D6" s="535"/>
      <c r="E6" s="535">
        <f>C6+D6</f>
        <v>15000</v>
      </c>
      <c r="F6" s="535">
        <v>5000</v>
      </c>
      <c r="G6" s="535">
        <f>E6+F6</f>
        <v>20000</v>
      </c>
      <c r="H6" s="535"/>
      <c r="I6" s="535">
        <f t="shared" ref="I6:I19" si="1">G6+H6</f>
        <v>20000</v>
      </c>
      <c r="J6" s="535">
        <v>20000</v>
      </c>
      <c r="K6" s="1507">
        <f>J6/I6</f>
        <v>1</v>
      </c>
      <c r="L6" s="536"/>
      <c r="M6" s="535">
        <v>20000</v>
      </c>
      <c r="N6" s="537"/>
      <c r="O6" s="986">
        <f t="shared" ref="O6:O27" si="2">L6+M6+N6</f>
        <v>20000</v>
      </c>
    </row>
    <row r="7" spans="1:15" s="530" customFormat="1" ht="33.6" customHeight="1">
      <c r="A7" s="538" t="s">
        <v>61</v>
      </c>
      <c r="B7" s="539" t="s">
        <v>158</v>
      </c>
      <c r="C7" s="497">
        <f>SUM(C8:C11)</f>
        <v>4600</v>
      </c>
      <c r="D7" s="497">
        <f>SUM(D8:D11)</f>
        <v>666</v>
      </c>
      <c r="E7" s="497">
        <v>5251</v>
      </c>
      <c r="F7" s="497"/>
      <c r="G7" s="535">
        <f t="shared" ref="G7:G18" si="3">E7+F7</f>
        <v>5251</v>
      </c>
      <c r="H7" s="535">
        <f>SUM(H8:H11)</f>
        <v>0</v>
      </c>
      <c r="I7" s="535">
        <f t="shared" si="1"/>
        <v>5251</v>
      </c>
      <c r="J7" s="535">
        <f>SUM(J8:J11)</f>
        <v>2926</v>
      </c>
      <c r="K7" s="1507">
        <f t="shared" ref="K7:K19" si="4">J7/I7</f>
        <v>0.55722719482003424</v>
      </c>
      <c r="L7" s="497">
        <f>SUM(L8:L10)</f>
        <v>0</v>
      </c>
      <c r="M7" s="497">
        <f>SUM(M8:M11)</f>
        <v>5251</v>
      </c>
      <c r="N7" s="540"/>
      <c r="O7" s="986">
        <f t="shared" si="2"/>
        <v>5251</v>
      </c>
    </row>
    <row r="8" spans="1:15" s="547" customFormat="1" ht="27" customHeight="1">
      <c r="A8" s="541" t="s">
        <v>159</v>
      </c>
      <c r="B8" s="542" t="s">
        <v>160</v>
      </c>
      <c r="C8" s="543">
        <v>3000</v>
      </c>
      <c r="D8" s="543">
        <v>666</v>
      </c>
      <c r="E8" s="543">
        <f>C8+D8</f>
        <v>3666</v>
      </c>
      <c r="F8" s="543"/>
      <c r="G8" s="1213">
        <f t="shared" si="3"/>
        <v>3666</v>
      </c>
      <c r="H8" s="1361"/>
      <c r="I8" s="1509">
        <f t="shared" si="1"/>
        <v>3666</v>
      </c>
      <c r="J8" s="1509">
        <v>2725</v>
      </c>
      <c r="K8" s="1510">
        <f t="shared" si="4"/>
        <v>0.74331696672122205</v>
      </c>
      <c r="L8" s="544"/>
      <c r="M8" s="545">
        <f>3000+D8</f>
        <v>3666</v>
      </c>
      <c r="N8" s="546"/>
      <c r="O8" s="1214">
        <f t="shared" si="2"/>
        <v>3666</v>
      </c>
    </row>
    <row r="9" spans="1:15" s="547" customFormat="1" ht="27" customHeight="1">
      <c r="A9" s="548" t="s">
        <v>161</v>
      </c>
      <c r="B9" s="549" t="s">
        <v>463</v>
      </c>
      <c r="C9" s="550">
        <v>1450</v>
      </c>
      <c r="D9" s="759"/>
      <c r="E9" s="550">
        <f>C9+D9</f>
        <v>1450</v>
      </c>
      <c r="F9" s="550"/>
      <c r="G9" s="1215">
        <f t="shared" si="3"/>
        <v>1450</v>
      </c>
      <c r="H9" s="1215"/>
      <c r="I9" s="1363">
        <f t="shared" si="1"/>
        <v>1450</v>
      </c>
      <c r="J9" s="1511">
        <v>135</v>
      </c>
      <c r="K9" s="1512">
        <f t="shared" si="4"/>
        <v>9.3103448275862075E-2</v>
      </c>
      <c r="L9" s="1513"/>
      <c r="M9" s="551">
        <v>1450</v>
      </c>
      <c r="N9" s="552"/>
      <c r="O9" s="1214">
        <f t="shared" si="2"/>
        <v>1450</v>
      </c>
    </row>
    <row r="10" spans="1:15" s="547" customFormat="1" ht="27" customHeight="1">
      <c r="A10" s="553" t="s">
        <v>162</v>
      </c>
      <c r="B10" s="549" t="s">
        <v>164</v>
      </c>
      <c r="C10" s="550">
        <v>100</v>
      </c>
      <c r="D10" s="550"/>
      <c r="E10" s="550">
        <v>85</v>
      </c>
      <c r="F10" s="550"/>
      <c r="G10" s="1216">
        <f t="shared" si="3"/>
        <v>85</v>
      </c>
      <c r="H10" s="1362"/>
      <c r="I10" s="1511">
        <f t="shared" si="1"/>
        <v>85</v>
      </c>
      <c r="J10" s="1511">
        <v>40</v>
      </c>
      <c r="K10" s="1512">
        <f t="shared" si="4"/>
        <v>0.47058823529411764</v>
      </c>
      <c r="L10" s="1513"/>
      <c r="M10" s="550">
        <v>85</v>
      </c>
      <c r="N10" s="552"/>
      <c r="O10" s="1214">
        <f t="shared" si="2"/>
        <v>85</v>
      </c>
    </row>
    <row r="11" spans="1:15" s="547" customFormat="1" ht="27" customHeight="1">
      <c r="A11" s="554" t="s">
        <v>163</v>
      </c>
      <c r="B11" s="555" t="s">
        <v>285</v>
      </c>
      <c r="C11" s="556">
        <v>50</v>
      </c>
      <c r="D11" s="556"/>
      <c r="E11" s="551">
        <f>C11+D11</f>
        <v>50</v>
      </c>
      <c r="F11" s="551"/>
      <c r="G11" s="1217">
        <f t="shared" si="3"/>
        <v>50</v>
      </c>
      <c r="H11" s="1217"/>
      <c r="I11" s="535">
        <f t="shared" si="1"/>
        <v>50</v>
      </c>
      <c r="J11" s="535">
        <v>26</v>
      </c>
      <c r="K11" s="1507">
        <f t="shared" si="4"/>
        <v>0.52</v>
      </c>
      <c r="L11" s="1514"/>
      <c r="M11" s="556">
        <v>50</v>
      </c>
      <c r="N11" s="557"/>
      <c r="O11" s="1214">
        <f t="shared" si="2"/>
        <v>50</v>
      </c>
    </row>
    <row r="12" spans="1:15" s="530" customFormat="1" ht="33.6" customHeight="1">
      <c r="A12" s="538" t="s">
        <v>62</v>
      </c>
      <c r="B12" s="539" t="s">
        <v>165</v>
      </c>
      <c r="C12" s="497">
        <v>8000</v>
      </c>
      <c r="D12" s="497">
        <v>250</v>
      </c>
      <c r="E12" s="497">
        <f>C12+D12</f>
        <v>8250</v>
      </c>
      <c r="F12" s="497"/>
      <c r="G12" s="535">
        <f t="shared" si="3"/>
        <v>8250</v>
      </c>
      <c r="H12" s="535"/>
      <c r="I12" s="535">
        <f t="shared" si="1"/>
        <v>8250</v>
      </c>
      <c r="J12" s="535">
        <v>6495</v>
      </c>
      <c r="K12" s="1507">
        <f t="shared" si="4"/>
        <v>0.78727272727272724</v>
      </c>
      <c r="L12" s="558"/>
      <c r="M12" s="497">
        <f>8000+250</f>
        <v>8250</v>
      </c>
      <c r="N12" s="540"/>
      <c r="O12" s="986">
        <f t="shared" si="2"/>
        <v>8250</v>
      </c>
    </row>
    <row r="13" spans="1:15" s="530" customFormat="1" ht="33.6" customHeight="1">
      <c r="A13" s="538" t="s">
        <v>63</v>
      </c>
      <c r="B13" s="559" t="s">
        <v>235</v>
      </c>
      <c r="C13" s="497">
        <v>3000</v>
      </c>
      <c r="D13" s="497">
        <v>525</v>
      </c>
      <c r="E13" s="497">
        <v>2875</v>
      </c>
      <c r="F13" s="497"/>
      <c r="G13" s="535">
        <f t="shared" si="3"/>
        <v>2875</v>
      </c>
      <c r="H13" s="535"/>
      <c r="I13" s="535">
        <f t="shared" si="1"/>
        <v>2875</v>
      </c>
      <c r="J13" s="535">
        <v>2535</v>
      </c>
      <c r="K13" s="1507">
        <f t="shared" si="4"/>
        <v>0.88173913043478258</v>
      </c>
      <c r="L13" s="558"/>
      <c r="M13" s="497">
        <v>2875</v>
      </c>
      <c r="N13" s="540"/>
      <c r="O13" s="986">
        <f t="shared" si="2"/>
        <v>2875</v>
      </c>
    </row>
    <row r="14" spans="1:15" s="547" customFormat="1" ht="33.6" customHeight="1">
      <c r="A14" s="538" t="s">
        <v>64</v>
      </c>
      <c r="B14" s="539" t="s">
        <v>190</v>
      </c>
      <c r="C14" s="497">
        <v>1000</v>
      </c>
      <c r="D14" s="497">
        <v>784</v>
      </c>
      <c r="E14" s="497">
        <f t="shared" ref="E14:E18" si="5">C14+D14</f>
        <v>1784</v>
      </c>
      <c r="F14" s="497"/>
      <c r="G14" s="535">
        <f t="shared" si="3"/>
        <v>1784</v>
      </c>
      <c r="H14" s="535"/>
      <c r="I14" s="535">
        <f t="shared" si="1"/>
        <v>1784</v>
      </c>
      <c r="J14" s="535">
        <v>792</v>
      </c>
      <c r="K14" s="1507">
        <f t="shared" si="4"/>
        <v>0.44394618834080718</v>
      </c>
      <c r="L14" s="560"/>
      <c r="M14" s="497">
        <f>1000+D14</f>
        <v>1784</v>
      </c>
      <c r="N14" s="561"/>
      <c r="O14" s="986">
        <f t="shared" si="2"/>
        <v>1784</v>
      </c>
    </row>
    <row r="15" spans="1:15" s="530" customFormat="1" ht="33.6" customHeight="1">
      <c r="A15" s="538" t="s">
        <v>65</v>
      </c>
      <c r="B15" s="559" t="s">
        <v>166</v>
      </c>
      <c r="C15" s="497">
        <v>2400</v>
      </c>
      <c r="D15" s="497"/>
      <c r="E15" s="497">
        <f t="shared" si="5"/>
        <v>2400</v>
      </c>
      <c r="F15" s="497"/>
      <c r="G15" s="535">
        <f t="shared" si="3"/>
        <v>2400</v>
      </c>
      <c r="H15" s="535"/>
      <c r="I15" s="535">
        <f t="shared" si="1"/>
        <v>2400</v>
      </c>
      <c r="J15" s="535">
        <v>280</v>
      </c>
      <c r="K15" s="1507">
        <f t="shared" si="4"/>
        <v>0.11666666666666667</v>
      </c>
      <c r="L15" s="558"/>
      <c r="M15" s="497">
        <v>2400</v>
      </c>
      <c r="N15" s="540"/>
      <c r="O15" s="986">
        <f t="shared" si="2"/>
        <v>2400</v>
      </c>
    </row>
    <row r="16" spans="1:15" s="530" customFormat="1" ht="33.6" customHeight="1">
      <c r="A16" s="538" t="s">
        <v>66</v>
      </c>
      <c r="B16" s="559" t="s">
        <v>167</v>
      </c>
      <c r="C16" s="497">
        <v>5000</v>
      </c>
      <c r="D16" s="497">
        <v>128</v>
      </c>
      <c r="E16" s="497">
        <f t="shared" si="5"/>
        <v>5128</v>
      </c>
      <c r="F16" s="497"/>
      <c r="G16" s="535">
        <f t="shared" si="3"/>
        <v>5128</v>
      </c>
      <c r="H16" s="535"/>
      <c r="I16" s="535">
        <f t="shared" si="1"/>
        <v>5128</v>
      </c>
      <c r="J16" s="535">
        <v>3256</v>
      </c>
      <c r="K16" s="1507">
        <f t="shared" si="4"/>
        <v>0.63494539781591264</v>
      </c>
      <c r="L16" s="558"/>
      <c r="M16" s="497">
        <f>5000+D16</f>
        <v>5128</v>
      </c>
      <c r="N16" s="540"/>
      <c r="O16" s="986">
        <f t="shared" si="2"/>
        <v>5128</v>
      </c>
    </row>
    <row r="17" spans="1:15" s="530" customFormat="1" ht="33.6" customHeight="1">
      <c r="A17" s="538" t="s">
        <v>67</v>
      </c>
      <c r="B17" s="562" t="s">
        <v>517</v>
      </c>
      <c r="C17" s="497">
        <v>4200</v>
      </c>
      <c r="D17" s="497">
        <v>677</v>
      </c>
      <c r="E17" s="497">
        <f t="shared" si="5"/>
        <v>4877</v>
      </c>
      <c r="F17" s="497"/>
      <c r="G17" s="535">
        <f t="shared" si="3"/>
        <v>4877</v>
      </c>
      <c r="H17" s="535"/>
      <c r="I17" s="535">
        <f t="shared" si="1"/>
        <v>4877</v>
      </c>
      <c r="J17" s="535">
        <f>4132+417</f>
        <v>4549</v>
      </c>
      <c r="K17" s="1507">
        <f t="shared" si="4"/>
        <v>0.93274554029116263</v>
      </c>
      <c r="L17" s="558"/>
      <c r="M17" s="497">
        <f>4200+D17</f>
        <v>4877</v>
      </c>
      <c r="N17" s="540"/>
      <c r="O17" s="986">
        <f t="shared" si="2"/>
        <v>4877</v>
      </c>
    </row>
    <row r="18" spans="1:15" s="530" customFormat="1" ht="33.6" customHeight="1">
      <c r="A18" s="1351" t="s">
        <v>68</v>
      </c>
      <c r="B18" s="559" t="s">
        <v>168</v>
      </c>
      <c r="C18" s="497">
        <v>2000</v>
      </c>
      <c r="D18" s="497"/>
      <c r="E18" s="497">
        <f t="shared" si="5"/>
        <v>2000</v>
      </c>
      <c r="F18" s="497"/>
      <c r="G18" s="497">
        <f t="shared" si="3"/>
        <v>2000</v>
      </c>
      <c r="H18" s="497"/>
      <c r="I18" s="535">
        <f t="shared" si="1"/>
        <v>2000</v>
      </c>
      <c r="J18" s="535">
        <v>523</v>
      </c>
      <c r="K18" s="1507">
        <f t="shared" si="4"/>
        <v>0.26150000000000001</v>
      </c>
      <c r="L18" s="558"/>
      <c r="M18" s="497">
        <v>2000</v>
      </c>
      <c r="N18" s="558"/>
      <c r="O18" s="986">
        <f t="shared" si="2"/>
        <v>2000</v>
      </c>
    </row>
    <row r="19" spans="1:15" s="530" customFormat="1" ht="33.6" customHeight="1" thickBot="1">
      <c r="A19" s="1515" t="s">
        <v>75</v>
      </c>
      <c r="B19" s="1356" t="s">
        <v>934</v>
      </c>
      <c r="C19" s="563"/>
      <c r="D19" s="563"/>
      <c r="E19" s="563"/>
      <c r="F19" s="563">
        <v>418</v>
      </c>
      <c r="G19" s="563">
        <v>418</v>
      </c>
      <c r="H19" s="563"/>
      <c r="I19" s="535">
        <f t="shared" si="1"/>
        <v>418</v>
      </c>
      <c r="J19" s="1363">
        <v>418</v>
      </c>
      <c r="K19" s="1507">
        <f t="shared" si="4"/>
        <v>1</v>
      </c>
      <c r="L19" s="564"/>
      <c r="M19" s="563">
        <v>418</v>
      </c>
      <c r="N19" s="564"/>
      <c r="O19" s="986"/>
    </row>
    <row r="20" spans="1:15" s="567" customFormat="1" ht="50.25" thickBot="1">
      <c r="A20" s="1355" t="s">
        <v>169</v>
      </c>
      <c r="B20" s="566" t="s">
        <v>810</v>
      </c>
      <c r="C20" s="496">
        <f>SUM(C21:C25)</f>
        <v>6300</v>
      </c>
      <c r="D20" s="496">
        <f t="shared" ref="D20:M20" si="6">SUM(D21:D26)</f>
        <v>3560</v>
      </c>
      <c r="E20" s="496">
        <f t="shared" si="6"/>
        <v>9860</v>
      </c>
      <c r="F20" s="496">
        <f t="shared" si="6"/>
        <v>0</v>
      </c>
      <c r="G20" s="496">
        <f t="shared" si="6"/>
        <v>9860</v>
      </c>
      <c r="H20" s="496">
        <f t="shared" si="6"/>
        <v>0</v>
      </c>
      <c r="I20" s="496">
        <f t="shared" si="6"/>
        <v>9860</v>
      </c>
      <c r="J20" s="496">
        <f>SUM(J21:J26)</f>
        <v>3970</v>
      </c>
      <c r="K20" s="1506">
        <f>J20/I20</f>
        <v>0.4026369168356998</v>
      </c>
      <c r="L20" s="496">
        <f t="shared" si="6"/>
        <v>0</v>
      </c>
      <c r="M20" s="496">
        <f t="shared" si="6"/>
        <v>9860</v>
      </c>
      <c r="N20" s="1357">
        <f>SUM(N21:N25)</f>
        <v>0</v>
      </c>
      <c r="O20" s="986">
        <f t="shared" si="2"/>
        <v>9860</v>
      </c>
    </row>
    <row r="21" spans="1:15" s="530" customFormat="1" ht="33.6" customHeight="1">
      <c r="A21" s="533" t="s">
        <v>60</v>
      </c>
      <c r="B21" s="1125" t="s">
        <v>464</v>
      </c>
      <c r="C21" s="535">
        <v>0</v>
      </c>
      <c r="D21" s="535"/>
      <c r="E21" s="535">
        <f>C21+D21</f>
        <v>0</v>
      </c>
      <c r="F21" s="535"/>
      <c r="G21" s="535">
        <f t="shared" ref="G21:I26" si="7">E21+F21</f>
        <v>0</v>
      </c>
      <c r="H21" s="535"/>
      <c r="I21" s="535">
        <f t="shared" si="7"/>
        <v>0</v>
      </c>
      <c r="J21" s="535"/>
      <c r="K21" s="1507"/>
      <c r="L21" s="536"/>
      <c r="M21" s="535">
        <v>0</v>
      </c>
      <c r="N21" s="537"/>
      <c r="O21" s="986">
        <f t="shared" si="2"/>
        <v>0</v>
      </c>
    </row>
    <row r="22" spans="1:15" s="530" customFormat="1" ht="33.6" customHeight="1">
      <c r="A22" s="538" t="s">
        <v>61</v>
      </c>
      <c r="B22" s="559" t="s">
        <v>258</v>
      </c>
      <c r="C22" s="497">
        <v>0</v>
      </c>
      <c r="D22" s="497">
        <v>2500</v>
      </c>
      <c r="E22" s="497">
        <f>C22+D22</f>
        <v>2500</v>
      </c>
      <c r="F22" s="497"/>
      <c r="G22" s="535">
        <f t="shared" si="7"/>
        <v>2500</v>
      </c>
      <c r="H22" s="535"/>
      <c r="I22" s="535">
        <f t="shared" si="7"/>
        <v>2500</v>
      </c>
      <c r="J22" s="535">
        <v>1980</v>
      </c>
      <c r="K22" s="1507">
        <f t="shared" ref="K22:K26" si="8">J22/I22</f>
        <v>0.79200000000000004</v>
      </c>
      <c r="L22" s="558"/>
      <c r="M22" s="497">
        <v>2500</v>
      </c>
      <c r="N22" s="540"/>
      <c r="O22" s="986">
        <f t="shared" si="2"/>
        <v>2500</v>
      </c>
    </row>
    <row r="23" spans="1:15" s="530" customFormat="1" ht="33.6" customHeight="1">
      <c r="A23" s="538" t="s">
        <v>62</v>
      </c>
      <c r="B23" s="559" t="s">
        <v>172</v>
      </c>
      <c r="C23" s="497">
        <v>2500</v>
      </c>
      <c r="D23" s="497">
        <f>1288-228-1000</f>
        <v>60</v>
      </c>
      <c r="E23" s="497">
        <f>C23+D23</f>
        <v>2560</v>
      </c>
      <c r="F23" s="497"/>
      <c r="G23" s="535">
        <f t="shared" si="7"/>
        <v>2560</v>
      </c>
      <c r="H23" s="535"/>
      <c r="I23" s="535">
        <f t="shared" si="7"/>
        <v>2560</v>
      </c>
      <c r="J23" s="535">
        <v>990</v>
      </c>
      <c r="K23" s="1507">
        <f t="shared" si="8"/>
        <v>0.38671875</v>
      </c>
      <c r="L23" s="558"/>
      <c r="M23" s="497">
        <v>2560</v>
      </c>
      <c r="N23" s="540"/>
      <c r="O23" s="986">
        <f t="shared" si="2"/>
        <v>2560</v>
      </c>
    </row>
    <row r="24" spans="1:15" s="530" customFormat="1" ht="33.6" customHeight="1">
      <c r="A24" s="538" t="s">
        <v>63</v>
      </c>
      <c r="B24" s="568" t="s">
        <v>173</v>
      </c>
      <c r="C24" s="497">
        <v>3400</v>
      </c>
      <c r="D24" s="497"/>
      <c r="E24" s="497">
        <f>C24+D24</f>
        <v>3400</v>
      </c>
      <c r="F24" s="497">
        <v>0</v>
      </c>
      <c r="G24" s="535">
        <f t="shared" si="7"/>
        <v>3400</v>
      </c>
      <c r="H24" s="535"/>
      <c r="I24" s="535">
        <f t="shared" si="7"/>
        <v>3400</v>
      </c>
      <c r="J24" s="1693">
        <v>0</v>
      </c>
      <c r="K24" s="1507">
        <f t="shared" si="8"/>
        <v>0</v>
      </c>
      <c r="L24" s="558"/>
      <c r="M24" s="497">
        <v>3400</v>
      </c>
      <c r="N24" s="540"/>
      <c r="O24" s="986">
        <f t="shared" si="2"/>
        <v>3400</v>
      </c>
    </row>
    <row r="25" spans="1:15" s="530" customFormat="1" ht="33.6" customHeight="1">
      <c r="A25" s="538" t="s">
        <v>64</v>
      </c>
      <c r="B25" s="568" t="s">
        <v>174</v>
      </c>
      <c r="C25" s="1124">
        <v>400</v>
      </c>
      <c r="D25" s="1124"/>
      <c r="E25" s="497">
        <f>C25+D25</f>
        <v>400</v>
      </c>
      <c r="F25" s="497"/>
      <c r="G25" s="535">
        <f t="shared" si="7"/>
        <v>400</v>
      </c>
      <c r="H25" s="535"/>
      <c r="I25" s="535">
        <f t="shared" si="7"/>
        <v>400</v>
      </c>
      <c r="J25" s="1693">
        <v>0</v>
      </c>
      <c r="K25" s="1507">
        <f t="shared" si="8"/>
        <v>0</v>
      </c>
      <c r="L25" s="558"/>
      <c r="M25" s="1124">
        <v>400</v>
      </c>
      <c r="N25" s="540"/>
      <c r="O25" s="986">
        <f t="shared" si="2"/>
        <v>400</v>
      </c>
    </row>
    <row r="26" spans="1:15" s="530" customFormat="1" ht="33.6" customHeight="1" thickBot="1">
      <c r="A26" s="1218" t="s">
        <v>65</v>
      </c>
      <c r="B26" s="569" t="s">
        <v>862</v>
      </c>
      <c r="C26" s="570"/>
      <c r="D26" s="570">
        <v>1000</v>
      </c>
      <c r="E26" s="563">
        <v>1000</v>
      </c>
      <c r="F26" s="563"/>
      <c r="G26" s="535">
        <f t="shared" si="7"/>
        <v>1000</v>
      </c>
      <c r="H26" s="1363"/>
      <c r="I26" s="535">
        <f t="shared" si="7"/>
        <v>1000</v>
      </c>
      <c r="J26" s="1363">
        <v>1000</v>
      </c>
      <c r="K26" s="1507">
        <f t="shared" si="8"/>
        <v>1</v>
      </c>
      <c r="L26" s="564"/>
      <c r="M26" s="570">
        <v>1000</v>
      </c>
      <c r="N26" s="565"/>
      <c r="O26" s="986">
        <f t="shared" si="2"/>
        <v>1000</v>
      </c>
    </row>
    <row r="27" spans="1:15" s="530" customFormat="1" ht="46.9" customHeight="1" thickBot="1">
      <c r="A27" s="571"/>
      <c r="B27" s="572" t="s">
        <v>175</v>
      </c>
      <c r="C27" s="573">
        <f t="shared" ref="C27:M27" si="9">C5+C20</f>
        <v>51500</v>
      </c>
      <c r="D27" s="573">
        <f t="shared" si="9"/>
        <v>6590</v>
      </c>
      <c r="E27" s="573">
        <f t="shared" si="9"/>
        <v>57425</v>
      </c>
      <c r="F27" s="573">
        <f t="shared" si="9"/>
        <v>5418</v>
      </c>
      <c r="G27" s="573">
        <f t="shared" si="9"/>
        <v>62843</v>
      </c>
      <c r="H27" s="573">
        <f t="shared" si="9"/>
        <v>0</v>
      </c>
      <c r="I27" s="573">
        <f t="shared" si="9"/>
        <v>62843</v>
      </c>
      <c r="J27" s="573">
        <f t="shared" si="9"/>
        <v>45744</v>
      </c>
      <c r="K27" s="1508">
        <f>J27/I27</f>
        <v>0.72790923412313224</v>
      </c>
      <c r="L27" s="573">
        <f t="shared" si="9"/>
        <v>0</v>
      </c>
      <c r="M27" s="573">
        <f t="shared" si="9"/>
        <v>62843</v>
      </c>
      <c r="N27" s="574"/>
      <c r="O27" s="986">
        <f t="shared" si="2"/>
        <v>62843</v>
      </c>
    </row>
    <row r="28" spans="1:15" ht="26.25" customHeight="1">
      <c r="A28" s="196"/>
      <c r="B28" s="196"/>
      <c r="C28" s="197"/>
      <c r="D28" s="197"/>
      <c r="E28" s="197"/>
      <c r="F28" s="197"/>
      <c r="G28" s="197"/>
      <c r="H28" s="197"/>
      <c r="I28" s="197"/>
      <c r="J28" s="197"/>
      <c r="K28" s="197"/>
    </row>
    <row r="29" spans="1:15" ht="23.25" customHeight="1">
      <c r="A29" s="196"/>
      <c r="B29" s="198"/>
      <c r="C29" s="197"/>
      <c r="D29" s="197"/>
      <c r="E29" s="197"/>
      <c r="F29" s="197"/>
      <c r="G29" s="197"/>
      <c r="H29" s="197"/>
      <c r="I29" s="197"/>
      <c r="J29" s="197"/>
      <c r="K29" s="197"/>
    </row>
    <row r="30" spans="1:15" ht="21" customHeight="1">
      <c r="A30" s="196"/>
      <c r="B30" s="198"/>
      <c r="C30" s="197"/>
      <c r="D30" s="197"/>
      <c r="E30" s="197"/>
      <c r="F30" s="197"/>
      <c r="G30" s="197"/>
      <c r="H30" s="197"/>
      <c r="I30" s="197"/>
      <c r="J30" s="197"/>
      <c r="K30" s="197"/>
    </row>
    <row r="31" spans="1:15" ht="30.75" hidden="1" customHeight="1">
      <c r="A31" s="196"/>
      <c r="B31" s="198"/>
      <c r="C31" s="197"/>
      <c r="D31" s="197"/>
      <c r="E31" s="197"/>
      <c r="F31" s="197"/>
      <c r="G31" s="197"/>
      <c r="H31" s="197"/>
      <c r="I31" s="197"/>
      <c r="J31" s="197"/>
      <c r="K31" s="197"/>
    </row>
    <row r="32" spans="1:15" ht="23.25" customHeight="1">
      <c r="A32" s="196"/>
      <c r="B32" s="198"/>
      <c r="C32" s="197"/>
      <c r="D32" s="197"/>
      <c r="E32" s="197"/>
      <c r="F32" s="197"/>
      <c r="G32" s="197"/>
      <c r="H32" s="197"/>
      <c r="I32" s="197"/>
      <c r="J32" s="197"/>
      <c r="K32" s="197"/>
    </row>
    <row r="33" spans="1:11" ht="20.25" customHeight="1">
      <c r="A33" s="196"/>
      <c r="B33" s="198"/>
      <c r="C33" s="197"/>
      <c r="D33" s="197"/>
      <c r="E33" s="197"/>
      <c r="F33" s="197"/>
      <c r="G33" s="197"/>
      <c r="H33" s="197"/>
      <c r="I33" s="197"/>
      <c r="J33" s="197"/>
      <c r="K33" s="197"/>
    </row>
    <row r="34" spans="1:11" ht="22.5" hidden="1" customHeight="1">
      <c r="A34" s="196"/>
      <c r="B34" s="198"/>
      <c r="C34" s="197"/>
      <c r="D34" s="197"/>
      <c r="E34" s="197"/>
      <c r="F34" s="197"/>
      <c r="G34" s="197"/>
      <c r="H34" s="197"/>
      <c r="I34" s="197"/>
      <c r="J34" s="197"/>
      <c r="K34" s="197"/>
    </row>
    <row r="35" spans="1:11" ht="28.5" hidden="1" customHeight="1">
      <c r="A35" s="196"/>
      <c r="B35" s="198"/>
      <c r="C35" s="197"/>
      <c r="D35" s="197"/>
      <c r="E35" s="197"/>
      <c r="F35" s="197"/>
      <c r="G35" s="197"/>
      <c r="H35" s="197"/>
      <c r="I35" s="197"/>
      <c r="J35" s="197"/>
      <c r="K35" s="197"/>
    </row>
    <row r="36" spans="1:11" ht="27.75" hidden="1" customHeight="1">
      <c r="A36" s="196"/>
      <c r="B36" s="198"/>
      <c r="C36" s="197"/>
      <c r="D36" s="197"/>
      <c r="E36" s="197"/>
      <c r="F36" s="197"/>
      <c r="G36" s="197"/>
      <c r="H36" s="197"/>
      <c r="I36" s="197"/>
      <c r="J36" s="197"/>
      <c r="K36" s="197"/>
    </row>
    <row r="37" spans="1:11" ht="23.25" customHeight="1">
      <c r="A37" s="198"/>
      <c r="B37" s="196"/>
      <c r="C37" s="199"/>
      <c r="D37" s="199"/>
      <c r="E37" s="199"/>
      <c r="F37" s="199"/>
      <c r="G37" s="199"/>
      <c r="H37" s="199"/>
      <c r="I37" s="199"/>
      <c r="J37" s="199"/>
      <c r="K37" s="199"/>
    </row>
    <row r="39" spans="1:11">
      <c r="B39" s="201"/>
    </row>
    <row r="40" spans="1:11">
      <c r="B40" s="201"/>
    </row>
    <row r="41" spans="1:11">
      <c r="B41" s="201"/>
    </row>
  </sheetData>
  <mergeCells count="2">
    <mergeCell ref="A3:B3"/>
    <mergeCell ref="A2:N2"/>
  </mergeCells>
  <phoneticPr fontId="6" type="noConversion"/>
  <printOptions horizontalCentered="1"/>
  <pageMargins left="0.59055118110236227" right="0.59055118110236227" top="0.78740157480314965" bottom="0.78740157480314965" header="0.59055118110236227" footer="0.70866141732283472"/>
  <pageSetup paperSize="9" scale="48" orientation="portrait" r:id="rId1"/>
  <headerFooter alignWithMargins="0">
    <oddHeader>&amp;L&amp;"Arial,Dőlt"&amp;11 &amp;U12. melléklet a 15/2015. (V.29.) önkormányzati rendelethez</oddHeader>
    <oddFooter>&amp;C&amp;11Nagykőrös Város Önkormányzat 2014. évi zárszámadási rendelete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/>
  </sheetPr>
  <dimension ref="A1:G18"/>
  <sheetViews>
    <sheetView view="pageLayout" zoomScaleNormal="100" zoomScaleSheetLayoutView="100" workbookViewId="0">
      <selection activeCell="B10" sqref="B10"/>
    </sheetView>
  </sheetViews>
  <sheetFormatPr defaultColWidth="18.5703125" defaultRowHeight="15"/>
  <cols>
    <col min="1" max="1" width="7.42578125" style="207" customWidth="1"/>
    <col min="2" max="2" width="43.7109375" style="204" customWidth="1"/>
    <col min="3" max="4" width="16.42578125" style="204" customWidth="1"/>
    <col min="5" max="5" width="16.85546875" style="204" customWidth="1"/>
    <col min="6" max="6" width="13.85546875" style="204" hidden="1" customWidth="1"/>
    <col min="7" max="7" width="14.7109375" style="204" hidden="1" customWidth="1"/>
    <col min="8" max="16384" width="18.5703125" style="204"/>
  </cols>
  <sheetData>
    <row r="1" spans="1:7" ht="21.6" customHeight="1">
      <c r="A1" s="1911" t="s">
        <v>1121</v>
      </c>
      <c r="B1" s="1911"/>
      <c r="C1" s="1911"/>
      <c r="D1" s="1911"/>
      <c r="E1" s="1911"/>
    </row>
    <row r="2" spans="1:7" ht="23.45" customHeight="1" thickBot="1">
      <c r="A2" s="398"/>
      <c r="B2" s="398"/>
      <c r="C2" s="398"/>
      <c r="D2" s="398"/>
      <c r="E2" s="398"/>
    </row>
    <row r="3" spans="1:7" s="205" customFormat="1" ht="39" customHeight="1">
      <c r="A3" s="1922" t="s">
        <v>74</v>
      </c>
      <c r="B3" s="1920" t="s">
        <v>69</v>
      </c>
      <c r="C3" s="1920" t="s">
        <v>300</v>
      </c>
      <c r="D3" s="1920" t="s">
        <v>1122</v>
      </c>
      <c r="E3" s="1918" t="s">
        <v>147</v>
      </c>
      <c r="F3" s="1912" t="s">
        <v>253</v>
      </c>
      <c r="G3" s="1914" t="s">
        <v>254</v>
      </c>
    </row>
    <row r="4" spans="1:7" s="205" customFormat="1" ht="22.5" customHeight="1" thickBot="1">
      <c r="A4" s="1923"/>
      <c r="B4" s="1921"/>
      <c r="C4" s="1924"/>
      <c r="D4" s="1924"/>
      <c r="E4" s="1919"/>
      <c r="F4" s="1913"/>
      <c r="G4" s="1915"/>
    </row>
    <row r="5" spans="1:7" s="206" customFormat="1" ht="17.25" hidden="1" customHeight="1">
      <c r="A5" s="411"/>
      <c r="B5" s="412" t="s">
        <v>70</v>
      </c>
      <c r="C5" s="412"/>
      <c r="D5" s="1697"/>
      <c r="E5" s="413"/>
      <c r="F5" s="394"/>
      <c r="G5" s="15"/>
    </row>
    <row r="6" spans="1:7" s="206" customFormat="1" ht="17.25" hidden="1" customHeight="1">
      <c r="A6" s="399"/>
      <c r="B6" s="14" t="s">
        <v>71</v>
      </c>
      <c r="C6" s="14"/>
      <c r="D6" s="1698"/>
      <c r="E6" s="400"/>
      <c r="F6" s="394"/>
      <c r="G6" s="15"/>
    </row>
    <row r="7" spans="1:7" s="205" customFormat="1" ht="34.9" customHeight="1">
      <c r="A7" s="401" t="s">
        <v>60</v>
      </c>
      <c r="B7" s="16" t="s">
        <v>448</v>
      </c>
      <c r="C7" s="215">
        <f>SUM(C8:C14)</f>
        <v>301.5</v>
      </c>
      <c r="D7" s="215">
        <f>SUM(D8:D14)</f>
        <v>301.5</v>
      </c>
      <c r="E7" s="404">
        <f>SUM(E8:E14)</f>
        <v>47</v>
      </c>
      <c r="F7" s="395">
        <v>0</v>
      </c>
      <c r="G7" s="19">
        <f>C7+F7</f>
        <v>301.5</v>
      </c>
    </row>
    <row r="8" spans="1:7" s="211" customFormat="1" ht="27" customHeight="1">
      <c r="A8" s="402" t="s">
        <v>218</v>
      </c>
      <c r="B8" s="209" t="s">
        <v>482</v>
      </c>
      <c r="C8" s="214">
        <v>16</v>
      </c>
      <c r="D8" s="214">
        <v>16</v>
      </c>
      <c r="E8" s="403">
        <v>5</v>
      </c>
      <c r="F8" s="396">
        <v>0</v>
      </c>
      <c r="G8" s="210">
        <v>27</v>
      </c>
    </row>
    <row r="9" spans="1:7" s="211" customFormat="1" ht="27" customHeight="1">
      <c r="A9" s="402" t="s">
        <v>219</v>
      </c>
      <c r="B9" s="209" t="s">
        <v>481</v>
      </c>
      <c r="C9" s="214">
        <v>75.75</v>
      </c>
      <c r="D9" s="214">
        <v>75.75</v>
      </c>
      <c r="E9" s="403">
        <v>6</v>
      </c>
      <c r="F9" s="396">
        <v>0</v>
      </c>
      <c r="G9" s="212">
        <v>89</v>
      </c>
    </row>
    <row r="10" spans="1:7" s="211" customFormat="1" ht="27" customHeight="1">
      <c r="A10" s="402" t="s">
        <v>257</v>
      </c>
      <c r="B10" s="209" t="s">
        <v>478</v>
      </c>
      <c r="C10" s="214">
        <v>34</v>
      </c>
      <c r="D10" s="214">
        <v>34</v>
      </c>
      <c r="E10" s="403">
        <v>0</v>
      </c>
      <c r="F10" s="396">
        <v>0</v>
      </c>
      <c r="G10" s="212">
        <f t="shared" ref="G10:G15" si="0">C10+F10</f>
        <v>34</v>
      </c>
    </row>
    <row r="11" spans="1:7" s="211" customFormat="1" ht="27" customHeight="1">
      <c r="A11" s="402" t="s">
        <v>260</v>
      </c>
      <c r="B11" s="209" t="s">
        <v>479</v>
      </c>
      <c r="C11" s="214">
        <v>21</v>
      </c>
      <c r="D11" s="214">
        <v>21</v>
      </c>
      <c r="E11" s="403">
        <v>1</v>
      </c>
      <c r="F11" s="396">
        <v>0</v>
      </c>
      <c r="G11" s="212">
        <f t="shared" si="0"/>
        <v>21</v>
      </c>
    </row>
    <row r="12" spans="1:7" s="211" customFormat="1" ht="27" customHeight="1">
      <c r="A12" s="402" t="s">
        <v>261</v>
      </c>
      <c r="B12" s="209" t="s">
        <v>196</v>
      </c>
      <c r="C12" s="214">
        <v>31</v>
      </c>
      <c r="D12" s="214">
        <v>31</v>
      </c>
      <c r="E12" s="403">
        <v>1</v>
      </c>
      <c r="F12" s="396">
        <v>0</v>
      </c>
      <c r="G12" s="212">
        <f t="shared" si="0"/>
        <v>31</v>
      </c>
    </row>
    <row r="13" spans="1:7" s="213" customFormat="1" ht="27" customHeight="1">
      <c r="A13" s="402" t="s">
        <v>262</v>
      </c>
      <c r="B13" s="209" t="s">
        <v>480</v>
      </c>
      <c r="C13" s="214">
        <v>24</v>
      </c>
      <c r="D13" s="214">
        <v>24</v>
      </c>
      <c r="E13" s="403">
        <v>1</v>
      </c>
      <c r="F13" s="396">
        <v>0</v>
      </c>
      <c r="G13" s="212">
        <f t="shared" si="0"/>
        <v>24</v>
      </c>
    </row>
    <row r="14" spans="1:7" s="211" customFormat="1" ht="27" customHeight="1">
      <c r="A14" s="402" t="s">
        <v>263</v>
      </c>
      <c r="B14" s="209" t="s">
        <v>448</v>
      </c>
      <c r="C14" s="214">
        <v>99.75</v>
      </c>
      <c r="D14" s="214">
        <v>99.75</v>
      </c>
      <c r="E14" s="403">
        <v>33</v>
      </c>
      <c r="F14" s="396">
        <v>0</v>
      </c>
      <c r="G14" s="212">
        <f t="shared" si="0"/>
        <v>99.75</v>
      </c>
    </row>
    <row r="15" spans="1:7" s="206" customFormat="1" ht="34.9" customHeight="1">
      <c r="A15" s="401" t="s">
        <v>61</v>
      </c>
      <c r="B15" s="16" t="s">
        <v>149</v>
      </c>
      <c r="C15" s="215">
        <v>0</v>
      </c>
      <c r="D15" s="215">
        <v>0</v>
      </c>
      <c r="E15" s="404">
        <v>164</v>
      </c>
      <c r="F15" s="395">
        <v>0</v>
      </c>
      <c r="G15" s="17">
        <f t="shared" si="0"/>
        <v>0</v>
      </c>
    </row>
    <row r="16" spans="1:7" ht="34.9" customHeight="1" thickBot="1">
      <c r="A16" s="405" t="s">
        <v>62</v>
      </c>
      <c r="B16" s="406" t="s">
        <v>72</v>
      </c>
      <c r="C16" s="407">
        <v>68</v>
      </c>
      <c r="D16" s="407">
        <v>68</v>
      </c>
      <c r="E16" s="408">
        <v>0</v>
      </c>
      <c r="F16" s="395">
        <f>-4-1-8</f>
        <v>-13</v>
      </c>
      <c r="G16" s="17">
        <v>76</v>
      </c>
    </row>
    <row r="17" spans="1:7" ht="34.9" customHeight="1" thickBot="1">
      <c r="A17" s="1916" t="s">
        <v>73</v>
      </c>
      <c r="B17" s="1917"/>
      <c r="C17" s="409">
        <f>SUM(C7+C15+C16)</f>
        <v>369.5</v>
      </c>
      <c r="D17" s="409">
        <f>SUM(D7+D15+D16)</f>
        <v>369.5</v>
      </c>
      <c r="E17" s="410">
        <f>SUM(E7+E15+E16)</f>
        <v>211</v>
      </c>
      <c r="F17" s="397" t="e">
        <f>SUM(F8:F8)++#REF!+#REF!+F15+F16</f>
        <v>#REF!</v>
      </c>
      <c r="G17" s="18" t="e">
        <f>SUM(G8:G8)++#REF!+#REF!+G15+G16+#REF!</f>
        <v>#REF!</v>
      </c>
    </row>
    <row r="18" spans="1:7">
      <c r="B18" s="208"/>
      <c r="C18" s="208"/>
      <c r="D18" s="208"/>
    </row>
  </sheetData>
  <mergeCells count="9">
    <mergeCell ref="A1:E1"/>
    <mergeCell ref="F3:F4"/>
    <mergeCell ref="G3:G4"/>
    <mergeCell ref="A17:B17"/>
    <mergeCell ref="E3:E4"/>
    <mergeCell ref="B3:B4"/>
    <mergeCell ref="A3:A4"/>
    <mergeCell ref="C3:C4"/>
    <mergeCell ref="D3:D4"/>
  </mergeCells>
  <phoneticPr fontId="6" type="noConversion"/>
  <printOptions horizontalCentered="1"/>
  <pageMargins left="0.70866141732283472" right="0.70866141732283472" top="0.78740157480314965" bottom="0.78740157480314965" header="0.27559055118110237" footer="0.27559055118110237"/>
  <pageSetup paperSize="9" scale="88" orientation="portrait" r:id="rId1"/>
  <headerFooter alignWithMargins="0">
    <oddHeader xml:space="preserve">&amp;L&amp;"Arial,Dőlt"&amp;12&amp;U 13. melléklet a 15/2015. (V.29.) önkormányzati rendelethez&amp;C
</oddHeader>
    <oddFooter>&amp;C&amp;12Nagykőrös Város Önkormányzat 2014. évi zárszámadási rendelete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W31"/>
  <sheetViews>
    <sheetView view="pageLayout" zoomScaleNormal="100" zoomScaleSheetLayoutView="100" workbookViewId="0">
      <selection activeCell="B5" sqref="B5"/>
    </sheetView>
  </sheetViews>
  <sheetFormatPr defaultColWidth="12.7109375" defaultRowHeight="15"/>
  <cols>
    <col min="1" max="1" width="10" style="102" customWidth="1"/>
    <col min="2" max="2" width="41.85546875" style="133" bestFit="1" customWidth="1"/>
    <col min="3" max="3" width="15.7109375" style="95" customWidth="1"/>
    <col min="4" max="4" width="15.28515625" style="95" customWidth="1"/>
    <col min="5" max="8" width="13.85546875" style="95" hidden="1" customWidth="1"/>
    <col min="9" max="9" width="13.85546875" style="95" customWidth="1"/>
    <col min="10" max="16" width="13.85546875" style="95" hidden="1" customWidth="1"/>
    <col min="17" max="19" width="13.85546875" style="95" customWidth="1"/>
    <col min="20" max="20" width="13.140625" style="95" bestFit="1" customWidth="1"/>
    <col min="21" max="23" width="12.85546875" style="95" bestFit="1" customWidth="1"/>
    <col min="24" max="16384" width="12.7109375" style="95"/>
  </cols>
  <sheetData>
    <row r="1" spans="1:23" s="121" customFormat="1" ht="55.5" customHeight="1" thickBot="1">
      <c r="A1" s="1925" t="s">
        <v>559</v>
      </c>
      <c r="B1" s="1925"/>
      <c r="C1" s="1925"/>
      <c r="D1" s="1925"/>
      <c r="E1" s="1925"/>
      <c r="F1" s="1925"/>
      <c r="G1" s="1925"/>
      <c r="H1" s="1926"/>
      <c r="I1" s="1926"/>
      <c r="J1" s="1926"/>
      <c r="K1" s="1926"/>
      <c r="L1" s="1926"/>
      <c r="M1" s="1926"/>
      <c r="N1" s="1926"/>
      <c r="O1" s="1926"/>
      <c r="P1" s="1926"/>
      <c r="Q1" s="1926"/>
      <c r="R1" s="1926"/>
      <c r="S1" s="1926"/>
      <c r="T1" s="1926"/>
      <c r="U1" s="1926"/>
      <c r="V1" s="1926"/>
    </row>
    <row r="2" spans="1:23" s="216" customFormat="1" ht="25.5" customHeight="1">
      <c r="A2" s="1933" t="s">
        <v>234</v>
      </c>
      <c r="B2" s="1927" t="s">
        <v>76</v>
      </c>
      <c r="C2" s="1927" t="s">
        <v>284</v>
      </c>
      <c r="D2" s="1927"/>
      <c r="E2" s="1927" t="s">
        <v>156</v>
      </c>
      <c r="F2" s="1927" t="s">
        <v>184</v>
      </c>
      <c r="G2" s="1927" t="s">
        <v>156</v>
      </c>
      <c r="H2" s="1927" t="s">
        <v>184</v>
      </c>
      <c r="I2" s="1927" t="s">
        <v>284</v>
      </c>
      <c r="J2" s="1929" t="s">
        <v>815</v>
      </c>
      <c r="K2" s="1929" t="s">
        <v>867</v>
      </c>
      <c r="L2" s="1929" t="s">
        <v>863</v>
      </c>
      <c r="M2" s="1929" t="s">
        <v>912</v>
      </c>
      <c r="N2" s="1929" t="s">
        <v>863</v>
      </c>
      <c r="O2" s="1929" t="s">
        <v>912</v>
      </c>
      <c r="P2" s="1929" t="s">
        <v>863</v>
      </c>
      <c r="Q2" s="1929" t="s">
        <v>953</v>
      </c>
      <c r="R2" s="1929" t="s">
        <v>954</v>
      </c>
      <c r="S2" s="1929" t="s">
        <v>955</v>
      </c>
      <c r="T2" s="1940" t="s">
        <v>318</v>
      </c>
      <c r="U2" s="1942" t="s">
        <v>319</v>
      </c>
      <c r="V2" s="1938" t="s">
        <v>302</v>
      </c>
    </row>
    <row r="3" spans="1:23" s="216" customFormat="1" ht="46.15" customHeight="1" thickBot="1">
      <c r="A3" s="1934"/>
      <c r="B3" s="1928"/>
      <c r="C3" s="1349" t="s">
        <v>185</v>
      </c>
      <c r="D3" s="217" t="s">
        <v>188</v>
      </c>
      <c r="E3" s="1928"/>
      <c r="F3" s="1928"/>
      <c r="G3" s="1928"/>
      <c r="H3" s="1928"/>
      <c r="I3" s="1928"/>
      <c r="J3" s="1930"/>
      <c r="K3" s="1930"/>
      <c r="L3" s="1930"/>
      <c r="M3" s="1930"/>
      <c r="N3" s="1930"/>
      <c r="O3" s="1930"/>
      <c r="P3" s="1930"/>
      <c r="Q3" s="1930"/>
      <c r="R3" s="1930"/>
      <c r="S3" s="1930"/>
      <c r="T3" s="1941"/>
      <c r="U3" s="1943"/>
      <c r="V3" s="1939"/>
    </row>
    <row r="4" spans="1:23" s="220" customFormat="1" ht="33" customHeight="1">
      <c r="A4" s="218" t="s">
        <v>112</v>
      </c>
      <c r="B4" s="219" t="s">
        <v>95</v>
      </c>
      <c r="C4" s="1935" t="s">
        <v>98</v>
      </c>
      <c r="D4" s="1936"/>
      <c r="E4" s="1936"/>
      <c r="F4" s="1936"/>
      <c r="G4" s="1936"/>
      <c r="H4" s="1936"/>
      <c r="I4" s="1936"/>
      <c r="J4" s="1936"/>
      <c r="K4" s="1936"/>
      <c r="L4" s="1936"/>
      <c r="M4" s="1936"/>
      <c r="N4" s="1936"/>
      <c r="O4" s="1936"/>
      <c r="P4" s="1936"/>
      <c r="Q4" s="1936"/>
      <c r="R4" s="1936"/>
      <c r="S4" s="1936"/>
      <c r="T4" s="1936"/>
      <c r="U4" s="1936"/>
      <c r="V4" s="1937"/>
    </row>
    <row r="5" spans="1:23" s="225" customFormat="1" ht="29.1" customHeight="1">
      <c r="A5" s="221" t="s">
        <v>60</v>
      </c>
      <c r="B5" s="118" t="s">
        <v>455</v>
      </c>
      <c r="C5" s="222">
        <v>4000</v>
      </c>
      <c r="D5" s="222">
        <v>4000</v>
      </c>
      <c r="E5" s="222">
        <v>1000</v>
      </c>
      <c r="F5" s="223">
        <v>0</v>
      </c>
      <c r="G5" s="223">
        <f t="shared" ref="G5:G10" si="0">E5+F5</f>
        <v>1000</v>
      </c>
      <c r="H5" s="223">
        <v>0</v>
      </c>
      <c r="I5" s="223">
        <v>4000</v>
      </c>
      <c r="J5" s="761"/>
      <c r="K5" s="762">
        <f t="shared" ref="K5:K10" si="1">I5+J5</f>
        <v>4000</v>
      </c>
      <c r="L5" s="762"/>
      <c r="M5" s="762">
        <f t="shared" ref="M5:M10" si="2">K5+L5</f>
        <v>4000</v>
      </c>
      <c r="N5" s="762"/>
      <c r="O5" s="762">
        <f t="shared" ref="O5:Q12" si="3">M5+N5</f>
        <v>4000</v>
      </c>
      <c r="P5" s="762"/>
      <c r="Q5" s="762">
        <f t="shared" si="3"/>
        <v>4000</v>
      </c>
      <c r="R5" s="762">
        <v>717</v>
      </c>
      <c r="S5" s="1559">
        <f>R5/Q5</f>
        <v>0.17924999999999999</v>
      </c>
      <c r="T5" s="987">
        <v>0</v>
      </c>
      <c r="U5" s="223">
        <v>4000</v>
      </c>
      <c r="V5" s="988"/>
      <c r="W5" s="763">
        <f t="shared" ref="W5:W13" si="4">T5+U5+V5</f>
        <v>4000</v>
      </c>
    </row>
    <row r="6" spans="1:23" s="225" customFormat="1" ht="29.1" customHeight="1">
      <c r="A6" s="221" t="s">
        <v>61</v>
      </c>
      <c r="B6" s="118" t="s">
        <v>237</v>
      </c>
      <c r="C6" s="222">
        <v>12000</v>
      </c>
      <c r="D6" s="222">
        <v>12000</v>
      </c>
      <c r="E6" s="222">
        <v>7200</v>
      </c>
      <c r="F6" s="223">
        <f>-150</f>
        <v>-150</v>
      </c>
      <c r="G6" s="223">
        <f t="shared" si="0"/>
        <v>7050</v>
      </c>
      <c r="H6" s="223">
        <v>0</v>
      </c>
      <c r="I6" s="223">
        <v>12000</v>
      </c>
      <c r="J6" s="223"/>
      <c r="K6" s="762">
        <f t="shared" si="1"/>
        <v>12000</v>
      </c>
      <c r="L6" s="762"/>
      <c r="M6" s="762">
        <f t="shared" si="2"/>
        <v>12000</v>
      </c>
      <c r="N6" s="762"/>
      <c r="O6" s="762">
        <f t="shared" si="3"/>
        <v>12000</v>
      </c>
      <c r="P6" s="762"/>
      <c r="Q6" s="762">
        <f t="shared" si="3"/>
        <v>12000</v>
      </c>
      <c r="R6" s="762"/>
      <c r="S6" s="1559">
        <f t="shared" ref="S6:S12" si="5">R6/Q6</f>
        <v>0</v>
      </c>
      <c r="T6" s="223">
        <v>12000</v>
      </c>
      <c r="U6" s="989"/>
      <c r="V6" s="988"/>
      <c r="W6" s="763">
        <f t="shared" si="4"/>
        <v>12000</v>
      </c>
    </row>
    <row r="7" spans="1:23" s="225" customFormat="1" ht="29.1" customHeight="1">
      <c r="A7" s="221" t="s">
        <v>62</v>
      </c>
      <c r="B7" s="118" t="s">
        <v>278</v>
      </c>
      <c r="C7" s="222">
        <v>4000</v>
      </c>
      <c r="D7" s="222">
        <v>4000</v>
      </c>
      <c r="E7" s="222">
        <v>0</v>
      </c>
      <c r="F7" s="223">
        <v>0</v>
      </c>
      <c r="G7" s="223">
        <f t="shared" si="0"/>
        <v>0</v>
      </c>
      <c r="H7" s="223">
        <v>0</v>
      </c>
      <c r="I7" s="223">
        <v>4000</v>
      </c>
      <c r="J7" s="223"/>
      <c r="K7" s="762">
        <f t="shared" si="1"/>
        <v>4000</v>
      </c>
      <c r="L7" s="762"/>
      <c r="M7" s="762">
        <f t="shared" si="2"/>
        <v>4000</v>
      </c>
      <c r="N7" s="762"/>
      <c r="O7" s="762">
        <f t="shared" si="3"/>
        <v>4000</v>
      </c>
      <c r="P7" s="762"/>
      <c r="Q7" s="762">
        <f t="shared" si="3"/>
        <v>4000</v>
      </c>
      <c r="R7" s="762">
        <v>5374</v>
      </c>
      <c r="S7" s="1559">
        <f t="shared" si="5"/>
        <v>1.3434999999999999</v>
      </c>
      <c r="T7" s="223">
        <v>4000</v>
      </c>
      <c r="U7" s="989"/>
      <c r="V7" s="988"/>
      <c r="W7" s="763">
        <f t="shared" si="4"/>
        <v>4000</v>
      </c>
    </row>
    <row r="8" spans="1:23" s="225" customFormat="1" ht="29.1" customHeight="1">
      <c r="A8" s="221" t="s">
        <v>63</v>
      </c>
      <c r="B8" s="118" t="s">
        <v>456</v>
      </c>
      <c r="C8" s="222">
        <v>20000</v>
      </c>
      <c r="D8" s="222">
        <v>20000</v>
      </c>
      <c r="E8" s="222">
        <v>1000</v>
      </c>
      <c r="F8" s="223">
        <v>0</v>
      </c>
      <c r="G8" s="223">
        <f t="shared" si="0"/>
        <v>1000</v>
      </c>
      <c r="H8" s="223">
        <v>0</v>
      </c>
      <c r="I8" s="223">
        <v>20000</v>
      </c>
      <c r="J8" s="223"/>
      <c r="K8" s="762">
        <f t="shared" si="1"/>
        <v>20000</v>
      </c>
      <c r="L8" s="762"/>
      <c r="M8" s="762">
        <f t="shared" si="2"/>
        <v>20000</v>
      </c>
      <c r="N8" s="762">
        <v>5000</v>
      </c>
      <c r="O8" s="762">
        <f t="shared" si="3"/>
        <v>25000</v>
      </c>
      <c r="P8" s="762"/>
      <c r="Q8" s="762">
        <f t="shared" si="3"/>
        <v>25000</v>
      </c>
      <c r="R8" s="762">
        <v>23582</v>
      </c>
      <c r="S8" s="1559">
        <f t="shared" si="5"/>
        <v>0.94328000000000001</v>
      </c>
      <c r="T8" s="223">
        <v>25000</v>
      </c>
      <c r="U8" s="989"/>
      <c r="V8" s="988"/>
      <c r="W8" s="763">
        <f t="shared" si="4"/>
        <v>25000</v>
      </c>
    </row>
    <row r="9" spans="1:23" s="225" customFormat="1" ht="29.1" customHeight="1">
      <c r="A9" s="221" t="s">
        <v>64</v>
      </c>
      <c r="B9" s="118" t="s">
        <v>457</v>
      </c>
      <c r="C9" s="222">
        <v>2000</v>
      </c>
      <c r="D9" s="222">
        <v>2000</v>
      </c>
      <c r="E9" s="222">
        <v>1200</v>
      </c>
      <c r="F9" s="223">
        <v>0</v>
      </c>
      <c r="G9" s="223">
        <f t="shared" si="0"/>
        <v>1200</v>
      </c>
      <c r="H9" s="223">
        <v>0</v>
      </c>
      <c r="I9" s="223">
        <v>2000</v>
      </c>
      <c r="J9" s="223"/>
      <c r="K9" s="762">
        <f t="shared" si="1"/>
        <v>2000</v>
      </c>
      <c r="L9" s="762"/>
      <c r="M9" s="762">
        <f t="shared" si="2"/>
        <v>2000</v>
      </c>
      <c r="N9" s="762"/>
      <c r="O9" s="762">
        <f t="shared" si="3"/>
        <v>2000</v>
      </c>
      <c r="P9" s="762"/>
      <c r="Q9" s="762">
        <f t="shared" si="3"/>
        <v>2000</v>
      </c>
      <c r="R9" s="762">
        <v>1657</v>
      </c>
      <c r="S9" s="1559">
        <f t="shared" si="5"/>
        <v>0.82850000000000001</v>
      </c>
      <c r="T9" s="223">
        <v>2000</v>
      </c>
      <c r="U9" s="987">
        <v>0</v>
      </c>
      <c r="V9" s="988"/>
      <c r="W9" s="763">
        <f t="shared" si="4"/>
        <v>2000</v>
      </c>
    </row>
    <row r="10" spans="1:23" ht="29.1" customHeight="1">
      <c r="A10" s="221" t="s">
        <v>65</v>
      </c>
      <c r="B10" s="61" t="s">
        <v>458</v>
      </c>
      <c r="C10" s="222">
        <v>4000</v>
      </c>
      <c r="D10" s="1249">
        <v>4000</v>
      </c>
      <c r="E10" s="1249">
        <v>0</v>
      </c>
      <c r="F10" s="1249">
        <v>0</v>
      </c>
      <c r="G10" s="1249">
        <f t="shared" si="0"/>
        <v>0</v>
      </c>
      <c r="H10" s="1249">
        <v>0</v>
      </c>
      <c r="I10" s="1249">
        <v>4000</v>
      </c>
      <c r="J10" s="1249"/>
      <c r="K10" s="223">
        <f t="shared" si="1"/>
        <v>4000</v>
      </c>
      <c r="L10" s="223"/>
      <c r="M10" s="223">
        <f t="shared" si="2"/>
        <v>4000</v>
      </c>
      <c r="N10" s="223"/>
      <c r="O10" s="223">
        <f t="shared" si="3"/>
        <v>4000</v>
      </c>
      <c r="P10" s="223"/>
      <c r="Q10" s="762">
        <f t="shared" si="3"/>
        <v>4000</v>
      </c>
      <c r="R10" s="762">
        <v>12031</v>
      </c>
      <c r="S10" s="1559">
        <f t="shared" si="5"/>
        <v>3.0077500000000001</v>
      </c>
      <c r="T10" s="1249">
        <v>0</v>
      </c>
      <c r="U10" s="1249">
        <v>4000</v>
      </c>
      <c r="V10" s="1285"/>
      <c r="W10" s="763">
        <f t="shared" si="4"/>
        <v>4000</v>
      </c>
    </row>
    <row r="11" spans="1:23" ht="29.1" customHeight="1">
      <c r="A11" s="221" t="s">
        <v>66</v>
      </c>
      <c r="B11" s="61" t="s">
        <v>128</v>
      </c>
      <c r="C11" s="222"/>
      <c r="D11" s="1249"/>
      <c r="E11" s="1249"/>
      <c r="F11" s="1249"/>
      <c r="G11" s="1249"/>
      <c r="H11" s="1249"/>
      <c r="I11" s="1249"/>
      <c r="J11" s="1249"/>
      <c r="K11" s="223">
        <v>100</v>
      </c>
      <c r="L11" s="223">
        <v>60</v>
      </c>
      <c r="M11" s="223">
        <f>K11+L11</f>
        <v>160</v>
      </c>
      <c r="N11" s="223"/>
      <c r="O11" s="223">
        <f t="shared" si="3"/>
        <v>160</v>
      </c>
      <c r="P11" s="223"/>
      <c r="Q11" s="762">
        <f t="shared" si="3"/>
        <v>160</v>
      </c>
      <c r="R11" s="762"/>
      <c r="S11" s="1559">
        <f t="shared" si="5"/>
        <v>0</v>
      </c>
      <c r="T11" s="1249">
        <v>160</v>
      </c>
      <c r="U11" s="1249"/>
      <c r="V11" s="1285"/>
      <c r="W11" s="763"/>
    </row>
    <row r="12" spans="1:23" ht="29.1" customHeight="1" thickBot="1">
      <c r="A12" s="1353" t="s">
        <v>67</v>
      </c>
      <c r="B12" s="1309" t="s">
        <v>917</v>
      </c>
      <c r="C12" s="1310"/>
      <c r="D12" s="1311"/>
      <c r="E12" s="1311"/>
      <c r="F12" s="1311"/>
      <c r="G12" s="1311"/>
      <c r="H12" s="1311"/>
      <c r="I12" s="1311"/>
      <c r="J12" s="1311"/>
      <c r="K12" s="1312"/>
      <c r="L12" s="1312">
        <v>8033</v>
      </c>
      <c r="M12" s="1312">
        <v>8033</v>
      </c>
      <c r="N12" s="1312">
        <v>7383</v>
      </c>
      <c r="O12" s="1312">
        <f t="shared" si="3"/>
        <v>15416</v>
      </c>
      <c r="P12" s="1312"/>
      <c r="Q12" s="762">
        <f t="shared" si="3"/>
        <v>15416</v>
      </c>
      <c r="R12" s="1664">
        <v>15416</v>
      </c>
      <c r="S12" s="1559">
        <f t="shared" si="5"/>
        <v>1</v>
      </c>
      <c r="T12" s="1311">
        <v>15416</v>
      </c>
      <c r="U12" s="1311"/>
      <c r="V12" s="1354"/>
      <c r="W12" s="763"/>
    </row>
    <row r="13" spans="1:23" s="226" customFormat="1" ht="33" customHeight="1" thickBot="1">
      <c r="A13" s="1931" t="s">
        <v>187</v>
      </c>
      <c r="B13" s="1932"/>
      <c r="C13" s="1313">
        <f>SUM(C5:C10)</f>
        <v>46000</v>
      </c>
      <c r="D13" s="1313">
        <f>SUM(D5:D10)</f>
        <v>46000</v>
      </c>
      <c r="E13" s="1313">
        <f>E4+SUM(E5:E10)</f>
        <v>10400</v>
      </c>
      <c r="F13" s="1313">
        <f>F4+SUM(F5:F10)</f>
        <v>-150</v>
      </c>
      <c r="G13" s="1313">
        <f>E13+F13</f>
        <v>10250</v>
      </c>
      <c r="H13" s="1313">
        <f>H4+SUM(H5:H10)</f>
        <v>0</v>
      </c>
      <c r="I13" s="1313">
        <f t="shared" ref="I13:V13" si="6">SUM(I5:I10)</f>
        <v>46000</v>
      </c>
      <c r="J13" s="1313">
        <f t="shared" si="6"/>
        <v>0</v>
      </c>
      <c r="K13" s="1313">
        <f>SUM(K5:K11)</f>
        <v>46100</v>
      </c>
      <c r="L13" s="1313">
        <f t="shared" ref="L13:T13" si="7">SUM(L5:L12)</f>
        <v>8093</v>
      </c>
      <c r="M13" s="1313">
        <f t="shared" si="7"/>
        <v>54193</v>
      </c>
      <c r="N13" s="1313">
        <f t="shared" si="7"/>
        <v>12383</v>
      </c>
      <c r="O13" s="1313">
        <f t="shared" si="7"/>
        <v>66576</v>
      </c>
      <c r="P13" s="1313">
        <f t="shared" si="7"/>
        <v>0</v>
      </c>
      <c r="Q13" s="1313">
        <f t="shared" si="7"/>
        <v>66576</v>
      </c>
      <c r="R13" s="1313">
        <f t="shared" si="7"/>
        <v>58777</v>
      </c>
      <c r="S13" s="1560">
        <f>R13/Q13</f>
        <v>0.88285568372987266</v>
      </c>
      <c r="T13" s="1313">
        <f t="shared" si="7"/>
        <v>58576</v>
      </c>
      <c r="U13" s="1313">
        <f t="shared" si="6"/>
        <v>8000</v>
      </c>
      <c r="V13" s="1314">
        <f t="shared" si="6"/>
        <v>0</v>
      </c>
      <c r="W13" s="763">
        <f t="shared" si="4"/>
        <v>66576</v>
      </c>
    </row>
    <row r="14" spans="1:23" ht="22.5" customHeight="1"/>
    <row r="15" spans="1:23" ht="19.5" customHeight="1">
      <c r="B15" s="95"/>
      <c r="D15" s="203" t="s">
        <v>98</v>
      </c>
      <c r="I15" s="203" t="s">
        <v>98</v>
      </c>
      <c r="J15" s="203"/>
      <c r="K15" s="203"/>
      <c r="L15" s="203"/>
      <c r="M15" s="203"/>
      <c r="N15" s="203"/>
      <c r="O15" s="203"/>
      <c r="P15" s="203"/>
      <c r="Q15" s="203"/>
      <c r="R15" s="203"/>
      <c r="S15" s="203"/>
    </row>
    <row r="16" spans="1:23" ht="41.25" customHeight="1"/>
    <row r="17" spans="1:19" ht="22.5" customHeight="1">
      <c r="B17" s="227"/>
      <c r="C17" s="228"/>
      <c r="D17" s="229"/>
      <c r="E17" s="228"/>
      <c r="F17" s="229"/>
    </row>
    <row r="18" spans="1:19" ht="22.5" customHeight="1">
      <c r="C18" s="132"/>
      <c r="D18" s="132"/>
      <c r="E18" s="227"/>
      <c r="F18" s="228"/>
      <c r="G18" s="229"/>
      <c r="H18" s="228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</row>
    <row r="19" spans="1:19" s="103" customFormat="1" ht="17.25" customHeight="1">
      <c r="A19" s="93"/>
      <c r="B19" s="127"/>
      <c r="C19" s="230"/>
      <c r="D19" s="230"/>
      <c r="E19" s="230"/>
      <c r="F19" s="230"/>
      <c r="G19" s="229"/>
      <c r="H19" s="230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</row>
    <row r="20" spans="1:19" s="103" customFormat="1" ht="17.25" customHeight="1">
      <c r="A20" s="93"/>
      <c r="B20" s="127"/>
      <c r="C20" s="230"/>
      <c r="D20" s="230"/>
      <c r="E20" s="230"/>
      <c r="F20" s="230"/>
      <c r="G20" s="229"/>
      <c r="H20" s="230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</row>
    <row r="21" spans="1:19" s="103" customFormat="1" ht="17.25" customHeight="1">
      <c r="A21" s="93"/>
      <c r="B21" s="127"/>
      <c r="C21" s="227"/>
      <c r="D21" s="227"/>
      <c r="E21" s="227"/>
      <c r="F21" s="230"/>
      <c r="G21" s="229"/>
      <c r="H21" s="230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</row>
    <row r="22" spans="1:19" ht="18.75" customHeight="1">
      <c r="B22" s="127"/>
    </row>
    <row r="23" spans="1:19" ht="18.75" customHeight="1">
      <c r="C23" s="132"/>
      <c r="D23" s="132"/>
      <c r="E23" s="132"/>
    </row>
    <row r="24" spans="1:19" ht="18.75" customHeight="1">
      <c r="C24" s="132"/>
      <c r="D24" s="132"/>
      <c r="E24" s="132"/>
    </row>
    <row r="25" spans="1:19" ht="18.75" customHeight="1">
      <c r="C25" s="132"/>
      <c r="D25" s="132"/>
      <c r="E25" s="132"/>
    </row>
    <row r="26" spans="1:19" ht="18.75" customHeight="1">
      <c r="C26" s="132"/>
      <c r="D26" s="132"/>
      <c r="E26" s="132"/>
    </row>
    <row r="27" spans="1:19" ht="18.75" customHeight="1">
      <c r="B27" s="127"/>
      <c r="C27" s="129"/>
      <c r="D27" s="129"/>
      <c r="E27" s="129"/>
    </row>
    <row r="28" spans="1:19" s="103" customFormat="1" ht="51.75" customHeight="1">
      <c r="A28" s="93"/>
      <c r="B28" s="134"/>
      <c r="E28" s="129"/>
    </row>
    <row r="29" spans="1:19" ht="27" customHeight="1">
      <c r="C29" s="133"/>
      <c r="D29" s="133"/>
      <c r="E29" s="133"/>
    </row>
    <row r="30" spans="1:19" ht="18.75" customHeight="1"/>
    <row r="31" spans="1:19" ht="18.75" customHeight="1"/>
  </sheetData>
  <protectedRanges>
    <protectedRange sqref="C10:C12 G10:G12 U5 T6:T9 I10:L12 C6:J9 T10:U12 C4:S5 K6:S12" name="Tartomány4_1"/>
    <protectedRange sqref="C13:V13" name="Tartomány14_1"/>
  </protectedRanges>
  <mergeCells count="24">
    <mergeCell ref="A13:B13"/>
    <mergeCell ref="A2:A3"/>
    <mergeCell ref="B2:B3"/>
    <mergeCell ref="C2:D2"/>
    <mergeCell ref="E2:E3"/>
    <mergeCell ref="C4:V4"/>
    <mergeCell ref="V2:V3"/>
    <mergeCell ref="T2:T3"/>
    <mergeCell ref="U2:U3"/>
    <mergeCell ref="K2:K3"/>
    <mergeCell ref="J2:J3"/>
    <mergeCell ref="M2:M3"/>
    <mergeCell ref="L2:L3"/>
    <mergeCell ref="O2:O3"/>
    <mergeCell ref="N2:N3"/>
    <mergeCell ref="P2:P3"/>
    <mergeCell ref="A1:V1"/>
    <mergeCell ref="H2:H3"/>
    <mergeCell ref="I2:I3"/>
    <mergeCell ref="F2:F3"/>
    <mergeCell ref="G2:G3"/>
    <mergeCell ref="Q2:Q3"/>
    <mergeCell ref="S2:S3"/>
    <mergeCell ref="R2:R3"/>
  </mergeCells>
  <phoneticPr fontId="6" type="noConversion"/>
  <printOptions horizontalCentered="1"/>
  <pageMargins left="0.70866141732283472" right="0.70866141732283472" top="0.78740157480314965" bottom="0.78740157480314965" header="0.31496062992125984" footer="0.27559055118110237"/>
  <pageSetup paperSize="9" scale="70" orientation="landscape" r:id="rId1"/>
  <headerFooter alignWithMargins="0">
    <oddHeader>&amp;L&amp;"Arial,Dőlt"&amp;12 &amp;U14. melléklet a 15/2015. (V.29.) önkormányzati rendelethez</oddHeader>
    <oddFooter>&amp;C&amp;12Nagykőrös Város Önkormányzat 2014. évi zárszámadási rendelete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U26"/>
  <sheetViews>
    <sheetView view="pageLayout" zoomScaleNormal="100" zoomScaleSheetLayoutView="100" workbookViewId="0">
      <selection activeCell="B7" sqref="B7"/>
    </sheetView>
  </sheetViews>
  <sheetFormatPr defaultColWidth="12.7109375" defaultRowHeight="15"/>
  <cols>
    <col min="1" max="1" width="10" style="102" customWidth="1"/>
    <col min="2" max="2" width="35" style="133" customWidth="1"/>
    <col min="3" max="3" width="15.7109375" style="95" customWidth="1"/>
    <col min="4" max="4" width="15.28515625" style="95" customWidth="1"/>
    <col min="5" max="8" width="13.85546875" style="95" hidden="1" customWidth="1"/>
    <col min="9" max="9" width="13.7109375" style="95" customWidth="1"/>
    <col min="10" max="11" width="13.7109375" style="95" hidden="1" customWidth="1"/>
    <col min="12" max="14" width="14.28515625" style="95" hidden="1" customWidth="1"/>
    <col min="15" max="16" width="14.28515625" style="95" customWidth="1"/>
    <col min="17" max="17" width="17.28515625" style="95" bestFit="1" customWidth="1"/>
    <col min="18" max="19" width="14" style="95" customWidth="1"/>
    <col min="20" max="16384" width="12.7109375" style="95"/>
  </cols>
  <sheetData>
    <row r="1" spans="1:21" s="121" customFormat="1" ht="62.25" customHeight="1" thickBot="1">
      <c r="A1" s="1944" t="s">
        <v>560</v>
      </c>
      <c r="B1" s="1944"/>
      <c r="C1" s="1944"/>
      <c r="D1" s="1944"/>
      <c r="E1" s="1944"/>
      <c r="F1" s="1944"/>
      <c r="G1" s="1944"/>
      <c r="H1" s="1944"/>
      <c r="I1" s="1944"/>
      <c r="J1" s="1944"/>
      <c r="K1" s="1944"/>
      <c r="L1" s="1944"/>
      <c r="M1" s="1944"/>
      <c r="N1" s="1944"/>
      <c r="O1" s="1944"/>
      <c r="P1" s="1944"/>
      <c r="Q1" s="1944"/>
      <c r="R1" s="1944"/>
      <c r="S1" s="1944"/>
      <c r="T1" s="1944"/>
    </row>
    <row r="2" spans="1:21" s="216" customFormat="1" ht="18" customHeight="1">
      <c r="A2" s="1933" t="s">
        <v>234</v>
      </c>
      <c r="B2" s="1927" t="s">
        <v>76</v>
      </c>
      <c r="C2" s="1927" t="s">
        <v>284</v>
      </c>
      <c r="D2" s="1927"/>
      <c r="E2" s="1927" t="s">
        <v>156</v>
      </c>
      <c r="F2" s="1927" t="s">
        <v>184</v>
      </c>
      <c r="G2" s="1927" t="s">
        <v>156</v>
      </c>
      <c r="H2" s="1927" t="s">
        <v>184</v>
      </c>
      <c r="I2" s="1927" t="s">
        <v>284</v>
      </c>
      <c r="J2" s="1929" t="s">
        <v>815</v>
      </c>
      <c r="K2" s="1929" t="s">
        <v>867</v>
      </c>
      <c r="L2" s="1929" t="s">
        <v>942</v>
      </c>
      <c r="M2" s="1929" t="s">
        <v>912</v>
      </c>
      <c r="N2" s="1929" t="s">
        <v>942</v>
      </c>
      <c r="O2" s="1929" t="s">
        <v>953</v>
      </c>
      <c r="P2" s="1929" t="s">
        <v>954</v>
      </c>
      <c r="Q2" s="1929" t="s">
        <v>955</v>
      </c>
      <c r="R2" s="1953" t="s">
        <v>318</v>
      </c>
      <c r="S2" s="1953" t="s">
        <v>319</v>
      </c>
      <c r="T2" s="1955" t="s">
        <v>302</v>
      </c>
    </row>
    <row r="3" spans="1:21" s="216" customFormat="1" ht="30">
      <c r="A3" s="1949"/>
      <c r="B3" s="1945"/>
      <c r="C3" s="1350" t="s">
        <v>185</v>
      </c>
      <c r="D3" s="231" t="s">
        <v>447</v>
      </c>
      <c r="E3" s="1945"/>
      <c r="F3" s="1945"/>
      <c r="G3" s="1945"/>
      <c r="H3" s="1945"/>
      <c r="I3" s="1945"/>
      <c r="J3" s="1946"/>
      <c r="K3" s="1946"/>
      <c r="L3" s="1946"/>
      <c r="M3" s="1946"/>
      <c r="N3" s="1946"/>
      <c r="O3" s="1946"/>
      <c r="P3" s="1946"/>
      <c r="Q3" s="1946"/>
      <c r="R3" s="1954"/>
      <c r="S3" s="1954"/>
      <c r="T3" s="1956"/>
    </row>
    <row r="4" spans="1:21" s="220" customFormat="1" ht="36.75" customHeight="1">
      <c r="A4" s="766" t="s">
        <v>112</v>
      </c>
      <c r="B4" s="1950" t="s">
        <v>95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2"/>
    </row>
    <row r="5" spans="1:21" s="225" customFormat="1" ht="27" customHeight="1">
      <c r="A5" s="221" t="s">
        <v>60</v>
      </c>
      <c r="B5" s="118" t="s">
        <v>825</v>
      </c>
      <c r="C5" s="232">
        <v>35000</v>
      </c>
      <c r="D5" s="233">
        <v>3500</v>
      </c>
      <c r="E5" s="232">
        <v>14000</v>
      </c>
      <c r="F5" s="234">
        <v>0</v>
      </c>
      <c r="G5" s="234">
        <f>E5+F5</f>
        <v>14000</v>
      </c>
      <c r="H5" s="234">
        <v>0</v>
      </c>
      <c r="I5" s="234">
        <v>3500</v>
      </c>
      <c r="J5" s="764"/>
      <c r="K5" s="764">
        <f t="shared" ref="K5:K10" si="0">I5+J5</f>
        <v>3500</v>
      </c>
      <c r="L5" s="764">
        <v>-3000</v>
      </c>
      <c r="M5" s="1342">
        <f>C5+L5</f>
        <v>32000</v>
      </c>
      <c r="N5" s="1342"/>
      <c r="O5" s="1342">
        <f t="shared" ref="O5:O11" si="1">M5+N5</f>
        <v>32000</v>
      </c>
      <c r="P5" s="1624">
        <v>31062</v>
      </c>
      <c r="Q5" s="1561">
        <f>P5/O5</f>
        <v>0.97068750000000004</v>
      </c>
      <c r="R5" s="235">
        <v>31500</v>
      </c>
      <c r="S5" s="140">
        <v>500</v>
      </c>
      <c r="T5" s="224"/>
      <c r="U5" s="765">
        <f>R5+S5+T5</f>
        <v>32000</v>
      </c>
    </row>
    <row r="6" spans="1:21" s="225" customFormat="1" ht="27" customHeight="1">
      <c r="A6" s="221" t="s">
        <v>61</v>
      </c>
      <c r="B6" s="118" t="s">
        <v>124</v>
      </c>
      <c r="C6" s="232">
        <v>80000</v>
      </c>
      <c r="D6" s="233">
        <v>8000</v>
      </c>
      <c r="E6" s="232">
        <v>70000</v>
      </c>
      <c r="F6" s="234">
        <v>0</v>
      </c>
      <c r="G6" s="234">
        <f>E6+F6</f>
        <v>70000</v>
      </c>
      <c r="H6" s="234">
        <v>0</v>
      </c>
      <c r="I6" s="234">
        <v>8000</v>
      </c>
      <c r="J6" s="764"/>
      <c r="K6" s="764">
        <f t="shared" si="0"/>
        <v>8000</v>
      </c>
      <c r="L6" s="764"/>
      <c r="M6" s="1342">
        <f t="shared" ref="M6:M12" si="2">C6+L6</f>
        <v>80000</v>
      </c>
      <c r="N6" s="1342">
        <v>-12900</v>
      </c>
      <c r="O6" s="1342">
        <f t="shared" si="1"/>
        <v>67100</v>
      </c>
      <c r="P6" s="1342">
        <v>67042</v>
      </c>
      <c r="Q6" s="1561">
        <f t="shared" ref="Q6:Q11" si="3">P6/O6</f>
        <v>0.99913561847988075</v>
      </c>
      <c r="R6" s="235">
        <v>59100</v>
      </c>
      <c r="S6" s="140">
        <v>8000</v>
      </c>
      <c r="T6" s="224"/>
      <c r="U6" s="765">
        <f t="shared" ref="U6:U12" si="4">R6+S6+T6</f>
        <v>67100</v>
      </c>
    </row>
    <row r="7" spans="1:21" s="225" customFormat="1" ht="27" customHeight="1">
      <c r="A7" s="221" t="s">
        <v>62</v>
      </c>
      <c r="B7" s="118" t="s">
        <v>186</v>
      </c>
      <c r="C7" s="232">
        <v>20000</v>
      </c>
      <c r="D7" s="233">
        <v>0</v>
      </c>
      <c r="E7" s="232">
        <v>20000</v>
      </c>
      <c r="F7" s="234">
        <v>0</v>
      </c>
      <c r="G7" s="234"/>
      <c r="H7" s="234"/>
      <c r="I7" s="234">
        <v>0</v>
      </c>
      <c r="J7" s="764"/>
      <c r="K7" s="764">
        <f t="shared" si="0"/>
        <v>0</v>
      </c>
      <c r="L7" s="764">
        <v>-20000</v>
      </c>
      <c r="M7" s="1342">
        <f t="shared" si="2"/>
        <v>0</v>
      </c>
      <c r="N7" s="1342"/>
      <c r="O7" s="1342">
        <f t="shared" si="1"/>
        <v>0</v>
      </c>
      <c r="P7" s="1342"/>
      <c r="Q7" s="1561"/>
      <c r="R7" s="235">
        <v>0</v>
      </c>
      <c r="S7" s="140"/>
      <c r="T7" s="224"/>
      <c r="U7" s="765">
        <f t="shared" si="4"/>
        <v>0</v>
      </c>
    </row>
    <row r="8" spans="1:21" s="225" customFormat="1" ht="27" customHeight="1">
      <c r="A8" s="221" t="s">
        <v>63</v>
      </c>
      <c r="B8" s="118" t="s">
        <v>128</v>
      </c>
      <c r="C8" s="232">
        <v>600</v>
      </c>
      <c r="D8" s="233">
        <v>0</v>
      </c>
      <c r="E8" s="232">
        <v>500</v>
      </c>
      <c r="F8" s="234">
        <v>0</v>
      </c>
      <c r="G8" s="234"/>
      <c r="H8" s="234"/>
      <c r="I8" s="234">
        <v>0</v>
      </c>
      <c r="J8" s="764"/>
      <c r="K8" s="764">
        <f t="shared" si="0"/>
        <v>0</v>
      </c>
      <c r="L8" s="764">
        <v>-300</v>
      </c>
      <c r="M8" s="1342">
        <f t="shared" si="2"/>
        <v>300</v>
      </c>
      <c r="N8" s="1342"/>
      <c r="O8" s="1342">
        <f t="shared" si="1"/>
        <v>300</v>
      </c>
      <c r="P8" s="1342">
        <v>184</v>
      </c>
      <c r="Q8" s="1561">
        <f t="shared" si="3"/>
        <v>0.61333333333333329</v>
      </c>
      <c r="R8" s="235">
        <v>300</v>
      </c>
      <c r="S8" s="140"/>
      <c r="T8" s="224"/>
      <c r="U8" s="765">
        <f t="shared" si="4"/>
        <v>300</v>
      </c>
    </row>
    <row r="9" spans="1:21" s="225" customFormat="1" ht="27" customHeight="1">
      <c r="A9" s="221" t="s">
        <v>64</v>
      </c>
      <c r="B9" s="118" t="s">
        <v>125</v>
      </c>
      <c r="C9" s="232">
        <v>2000</v>
      </c>
      <c r="D9" s="233">
        <v>0</v>
      </c>
      <c r="E9" s="232">
        <v>1200</v>
      </c>
      <c r="F9" s="234">
        <v>0</v>
      </c>
      <c r="G9" s="234"/>
      <c r="H9" s="234"/>
      <c r="I9" s="234">
        <v>0</v>
      </c>
      <c r="J9" s="764"/>
      <c r="K9" s="764">
        <f t="shared" si="0"/>
        <v>0</v>
      </c>
      <c r="L9" s="764"/>
      <c r="M9" s="1342">
        <f t="shared" si="2"/>
        <v>2000</v>
      </c>
      <c r="N9" s="1342">
        <v>-1100</v>
      </c>
      <c r="O9" s="1342">
        <f t="shared" si="1"/>
        <v>900</v>
      </c>
      <c r="P9" s="1342">
        <v>850</v>
      </c>
      <c r="Q9" s="1561">
        <f t="shared" si="3"/>
        <v>0.94444444444444442</v>
      </c>
      <c r="R9" s="235">
        <v>900</v>
      </c>
      <c r="S9" s="140"/>
      <c r="T9" s="224"/>
      <c r="U9" s="765">
        <f t="shared" si="4"/>
        <v>900</v>
      </c>
    </row>
    <row r="10" spans="1:21" s="225" customFormat="1" ht="27" customHeight="1">
      <c r="A10" s="221" t="s">
        <v>65</v>
      </c>
      <c r="B10" s="118" t="s">
        <v>2</v>
      </c>
      <c r="C10" s="232">
        <v>250000</v>
      </c>
      <c r="D10" s="233">
        <v>50000</v>
      </c>
      <c r="E10" s="232">
        <v>176000</v>
      </c>
      <c r="F10" s="234">
        <v>0</v>
      </c>
      <c r="G10" s="234">
        <v>220000</v>
      </c>
      <c r="H10" s="234">
        <v>0</v>
      </c>
      <c r="I10" s="234">
        <v>50000</v>
      </c>
      <c r="J10" s="234"/>
      <c r="K10" s="234">
        <f t="shared" si="0"/>
        <v>50000</v>
      </c>
      <c r="L10" s="234">
        <v>-121800</v>
      </c>
      <c r="M10" s="1348">
        <f>C10+L10+150000</f>
        <v>278200</v>
      </c>
      <c r="N10" s="1348">
        <v>-6000</v>
      </c>
      <c r="O10" s="1342">
        <f t="shared" si="1"/>
        <v>272200</v>
      </c>
      <c r="P10" s="1624">
        <v>121687</v>
      </c>
      <c r="Q10" s="1561">
        <f t="shared" si="3"/>
        <v>0.44704996326230712</v>
      </c>
      <c r="R10" s="140">
        <v>216512</v>
      </c>
      <c r="S10" s="140">
        <f>O10-R10</f>
        <v>55688</v>
      </c>
      <c r="T10" s="224"/>
      <c r="U10" s="765">
        <f t="shared" si="4"/>
        <v>272200</v>
      </c>
    </row>
    <row r="11" spans="1:21" s="225" customFormat="1" ht="27" customHeight="1">
      <c r="A11" s="221" t="s">
        <v>66</v>
      </c>
      <c r="B11" s="118" t="s">
        <v>932</v>
      </c>
      <c r="C11" s="232"/>
      <c r="D11" s="233"/>
      <c r="E11" s="232"/>
      <c r="F11" s="234"/>
      <c r="G11" s="234"/>
      <c r="H11" s="234"/>
      <c r="I11" s="234"/>
      <c r="J11" s="234"/>
      <c r="K11" s="234"/>
      <c r="L11" s="234">
        <v>100</v>
      </c>
      <c r="M11" s="1348">
        <v>100</v>
      </c>
      <c r="N11" s="1348"/>
      <c r="O11" s="1342">
        <f t="shared" si="1"/>
        <v>100</v>
      </c>
      <c r="P11" s="1342">
        <v>96</v>
      </c>
      <c r="Q11" s="1561">
        <f t="shared" si="3"/>
        <v>0.96</v>
      </c>
      <c r="R11" s="140">
        <v>100</v>
      </c>
      <c r="S11" s="140"/>
      <c r="T11" s="224"/>
      <c r="U11" s="765"/>
    </row>
    <row r="12" spans="1:21" s="226" customFormat="1" ht="38.25" customHeight="1" thickBot="1">
      <c r="A12" s="1947" t="s">
        <v>187</v>
      </c>
      <c r="B12" s="1948"/>
      <c r="C12" s="1343">
        <f>SUM(C5:C10)</f>
        <v>387600</v>
      </c>
      <c r="D12" s="1344">
        <f>SUM(D5:D10)</f>
        <v>61500</v>
      </c>
      <c r="E12" s="1343">
        <f>E4+SUM(E5:E10)</f>
        <v>281700</v>
      </c>
      <c r="F12" s="1343">
        <f>F4+SUM(F5:F10)</f>
        <v>0</v>
      </c>
      <c r="G12" s="1343">
        <f>E12+F12</f>
        <v>281700</v>
      </c>
      <c r="H12" s="1343">
        <f>H4+SUM(H5:H10)</f>
        <v>0</v>
      </c>
      <c r="I12" s="1343">
        <f>SUM(I5:I10)</f>
        <v>61500</v>
      </c>
      <c r="J12" s="1343">
        <f>SUM(J5:J10)</f>
        <v>0</v>
      </c>
      <c r="K12" s="1343">
        <f>SUM(K5:K10)</f>
        <v>61500</v>
      </c>
      <c r="L12" s="1343">
        <f>SUM(L5:L11)</f>
        <v>-145000</v>
      </c>
      <c r="M12" s="1345">
        <f t="shared" si="2"/>
        <v>242600</v>
      </c>
      <c r="N12" s="1343">
        <f>SUM(N5:N11)</f>
        <v>-20000</v>
      </c>
      <c r="O12" s="1360">
        <f>SUM(O5:O11)</f>
        <v>372600</v>
      </c>
      <c r="P12" s="1360">
        <f>SUM(P5:P11)</f>
        <v>220921</v>
      </c>
      <c r="Q12" s="1562">
        <f>P12/O12</f>
        <v>0.59291733762748255</v>
      </c>
      <c r="R12" s="1346">
        <f>SUM(R5:R11)</f>
        <v>308412</v>
      </c>
      <c r="S12" s="1346">
        <f>SUM(S4:S11)</f>
        <v>64188</v>
      </c>
      <c r="T12" s="1347"/>
      <c r="U12" s="765">
        <f t="shared" si="4"/>
        <v>372600</v>
      </c>
    </row>
    <row r="13" spans="1:21" ht="22.5" customHeight="1">
      <c r="G13" s="227"/>
      <c r="I13" s="227"/>
      <c r="J13" s="227"/>
      <c r="K13" s="227"/>
      <c r="L13" s="227"/>
      <c r="M13" s="227"/>
      <c r="N13" s="227"/>
      <c r="O13" s="227"/>
      <c r="P13" s="227"/>
      <c r="Q13" s="227"/>
    </row>
    <row r="14" spans="1:21" ht="22.5" customHeight="1">
      <c r="C14" s="132"/>
      <c r="D14" s="132"/>
      <c r="E14" s="227"/>
      <c r="F14" s="228"/>
      <c r="G14" s="229"/>
      <c r="H14" s="228"/>
      <c r="I14" s="229"/>
      <c r="J14" s="229"/>
      <c r="K14" s="229"/>
      <c r="L14" s="229"/>
      <c r="M14" s="229"/>
      <c r="N14" s="229"/>
      <c r="O14" s="229"/>
      <c r="P14" s="229"/>
      <c r="Q14" s="229"/>
    </row>
    <row r="15" spans="1:21" ht="22.5" customHeight="1">
      <c r="C15" s="132"/>
      <c r="D15" s="132"/>
      <c r="E15" s="227"/>
      <c r="F15" s="228"/>
      <c r="G15" s="229"/>
      <c r="H15" s="228"/>
      <c r="I15" s="229"/>
      <c r="J15" s="229"/>
      <c r="K15" s="229"/>
      <c r="L15" s="229"/>
      <c r="M15" s="229"/>
      <c r="N15" s="229"/>
      <c r="O15" s="229"/>
      <c r="P15" s="229"/>
      <c r="Q15" s="229"/>
    </row>
    <row r="16" spans="1:21" s="103" customFormat="1" ht="17.25" customHeight="1">
      <c r="A16" s="93"/>
      <c r="B16" s="127"/>
      <c r="C16" s="230"/>
      <c r="D16" s="230"/>
      <c r="E16" s="230"/>
      <c r="F16" s="230"/>
      <c r="G16" s="229"/>
      <c r="H16" s="230"/>
      <c r="I16" s="229"/>
      <c r="J16" s="229"/>
      <c r="K16" s="229"/>
      <c r="L16" s="229"/>
      <c r="M16" s="229"/>
      <c r="N16" s="229"/>
      <c r="O16" s="229"/>
      <c r="P16" s="229"/>
      <c r="Q16" s="229"/>
    </row>
    <row r="17" spans="1:17" s="103" customFormat="1" ht="17.25" customHeight="1">
      <c r="A17" s="93"/>
      <c r="B17" s="127"/>
      <c r="C17" s="230"/>
      <c r="D17" s="230"/>
      <c r="E17" s="230"/>
      <c r="F17" s="230"/>
      <c r="G17" s="229"/>
      <c r="H17" s="230"/>
      <c r="I17" s="229"/>
      <c r="J17" s="229"/>
      <c r="K17" s="229"/>
      <c r="L17" s="229"/>
      <c r="M17" s="229"/>
      <c r="N17" s="229"/>
      <c r="O17" s="229"/>
      <c r="P17" s="229"/>
      <c r="Q17" s="229"/>
    </row>
    <row r="18" spans="1:17" s="103" customFormat="1" ht="17.25" customHeight="1">
      <c r="A18" s="93"/>
      <c r="B18" s="127"/>
      <c r="C18" s="227"/>
      <c r="D18" s="227"/>
      <c r="E18" s="227"/>
      <c r="F18" s="230"/>
      <c r="G18" s="229"/>
      <c r="H18" s="230"/>
      <c r="I18" s="229"/>
      <c r="J18" s="229"/>
      <c r="K18" s="229"/>
      <c r="L18" s="229"/>
      <c r="M18" s="229"/>
      <c r="N18" s="229"/>
      <c r="O18" s="229"/>
      <c r="P18" s="229"/>
      <c r="Q18" s="229"/>
    </row>
    <row r="19" spans="1:17">
      <c r="B19" s="127"/>
    </row>
    <row r="20" spans="1:17">
      <c r="C20" s="132"/>
      <c r="D20" s="132"/>
      <c r="E20" s="132"/>
    </row>
    <row r="21" spans="1:17">
      <c r="C21" s="132"/>
      <c r="D21" s="132"/>
      <c r="E21" s="132"/>
    </row>
    <row r="22" spans="1:17">
      <c r="C22" s="132"/>
      <c r="D22" s="132"/>
      <c r="E22" s="132"/>
    </row>
    <row r="23" spans="1:17">
      <c r="C23" s="132"/>
      <c r="D23" s="132"/>
      <c r="E23" s="132"/>
    </row>
    <row r="24" spans="1:17">
      <c r="B24" s="127"/>
      <c r="C24" s="129"/>
      <c r="D24" s="129"/>
      <c r="E24" s="129"/>
    </row>
    <row r="25" spans="1:17" s="103" customFormat="1" ht="14.25">
      <c r="A25" s="93"/>
      <c r="B25" s="134"/>
      <c r="E25" s="129"/>
    </row>
    <row r="26" spans="1:17">
      <c r="C26" s="133"/>
      <c r="D26" s="133"/>
      <c r="E26" s="133"/>
    </row>
  </sheetData>
  <protectedRanges>
    <protectedRange sqref="M12 O12:Q12 C4:Q11" name="Tartomány4_1"/>
    <protectedRange sqref="C13:Q13 C12:L12 N12" name="Tartomány14_1"/>
  </protectedRanges>
  <mergeCells count="22">
    <mergeCell ref="A12:B12"/>
    <mergeCell ref="A2:A3"/>
    <mergeCell ref="B2:B3"/>
    <mergeCell ref="C2:D2"/>
    <mergeCell ref="E2:E3"/>
    <mergeCell ref="B4:T4"/>
    <mergeCell ref="R2:R3"/>
    <mergeCell ref="S2:S3"/>
    <mergeCell ref="T2:T3"/>
    <mergeCell ref="K2:K3"/>
    <mergeCell ref="J2:J3"/>
    <mergeCell ref="M2:M3"/>
    <mergeCell ref="L2:L3"/>
    <mergeCell ref="N2:N3"/>
    <mergeCell ref="O2:O3"/>
    <mergeCell ref="A1:T1"/>
    <mergeCell ref="H2:H3"/>
    <mergeCell ref="I2:I3"/>
    <mergeCell ref="F2:F3"/>
    <mergeCell ref="G2:G3"/>
    <mergeCell ref="Q2:Q3"/>
    <mergeCell ref="P2:P3"/>
  </mergeCells>
  <phoneticPr fontId="31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 alignWithMargins="0">
    <oddHeader>&amp;L&amp;"Arial,Dőlt"&amp;9 &amp;U15. melléklet a 15/2015. (V.29.) önkormányzati rendelethez</oddHeader>
    <oddFooter>&amp;C&amp;9Nagykőrös Város Önkormányzat 2014. évi zárszámadási rendelete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0"/>
  </sheetPr>
  <dimension ref="B1:M62"/>
  <sheetViews>
    <sheetView view="pageLayout" zoomScale="110" zoomScaleNormal="100" zoomScaleSheetLayoutView="100" zoomScalePageLayoutView="110" workbookViewId="0">
      <selection activeCell="B22" sqref="B22"/>
    </sheetView>
  </sheetViews>
  <sheetFormatPr defaultColWidth="9.140625" defaultRowHeight="15"/>
  <cols>
    <col min="1" max="1" width="0.28515625" style="95" customWidth="1"/>
    <col min="2" max="2" width="57.140625" style="95" customWidth="1"/>
    <col min="3" max="3" width="11.5703125" style="95" customWidth="1"/>
    <col min="4" max="7" width="11.5703125" style="132" customWidth="1"/>
    <col min="8" max="10" width="11.5703125" style="95" customWidth="1"/>
    <col min="11" max="12" width="6.28515625" style="95" customWidth="1"/>
    <col min="13" max="16384" width="9.140625" style="95"/>
  </cols>
  <sheetData>
    <row r="1" spans="2:13">
      <c r="B1" s="93"/>
      <c r="C1" s="93"/>
      <c r="D1" s="93"/>
      <c r="E1" s="93"/>
      <c r="F1" s="93"/>
      <c r="G1" s="93"/>
      <c r="H1" s="93"/>
      <c r="I1" s="93"/>
      <c r="J1" s="93"/>
    </row>
    <row r="2" spans="2:13">
      <c r="B2" s="1961" t="s">
        <v>143</v>
      </c>
      <c r="C2" s="1962"/>
      <c r="D2" s="1962"/>
      <c r="E2" s="1962"/>
      <c r="F2" s="1962"/>
      <c r="G2" s="1962"/>
      <c r="H2" s="1962"/>
      <c r="I2" s="1962"/>
      <c r="J2" s="1962"/>
      <c r="K2" s="102"/>
      <c r="L2" s="102"/>
      <c r="M2" s="102"/>
    </row>
    <row r="3" spans="2:13">
      <c r="B3" s="93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2:13" ht="11.25" customHeight="1" thickBot="1">
      <c r="G4" s="157"/>
      <c r="H4" s="150"/>
      <c r="I4" s="150"/>
    </row>
    <row r="5" spans="2:13">
      <c r="B5" s="1965" t="s">
        <v>110</v>
      </c>
      <c r="C5" s="1963" t="s">
        <v>351</v>
      </c>
      <c r="D5" s="1964"/>
      <c r="E5" s="1959">
        <v>2014</v>
      </c>
      <c r="F5" s="1959">
        <v>2015</v>
      </c>
      <c r="G5" s="1959">
        <v>2016</v>
      </c>
      <c r="H5" s="1959">
        <v>2017</v>
      </c>
      <c r="I5" s="1959">
        <v>2018</v>
      </c>
      <c r="J5" s="1957">
        <v>2019</v>
      </c>
    </row>
    <row r="6" spans="2:13" ht="15.75" thickBot="1">
      <c r="B6" s="1966"/>
      <c r="C6" s="236"/>
      <c r="D6" s="237" t="s">
        <v>350</v>
      </c>
      <c r="E6" s="1960"/>
      <c r="F6" s="1960"/>
      <c r="G6" s="1960"/>
      <c r="H6" s="1960"/>
      <c r="I6" s="1960"/>
      <c r="J6" s="1958"/>
    </row>
    <row r="7" spans="2:13" ht="23.1" customHeight="1">
      <c r="B7" s="1978" t="s">
        <v>244</v>
      </c>
      <c r="C7" s="238" t="s">
        <v>178</v>
      </c>
      <c r="D7" s="239">
        <v>130000</v>
      </c>
      <c r="E7" s="240">
        <v>130000</v>
      </c>
      <c r="F7" s="240">
        <v>0</v>
      </c>
      <c r="G7" s="240">
        <v>0</v>
      </c>
      <c r="H7" s="240">
        <v>0</v>
      </c>
      <c r="I7" s="240">
        <v>0</v>
      </c>
      <c r="J7" s="241">
        <v>0</v>
      </c>
    </row>
    <row r="8" spans="2:13" ht="23.1" customHeight="1">
      <c r="B8" s="1979"/>
      <c r="C8" s="242" t="s">
        <v>179</v>
      </c>
      <c r="D8" s="243" t="s">
        <v>93</v>
      </c>
      <c r="E8" s="244">
        <v>1000</v>
      </c>
      <c r="F8" s="245">
        <v>0</v>
      </c>
      <c r="G8" s="245">
        <v>0</v>
      </c>
      <c r="H8" s="245">
        <v>0</v>
      </c>
      <c r="I8" s="245">
        <v>0</v>
      </c>
      <c r="J8" s="246">
        <v>0</v>
      </c>
    </row>
    <row r="9" spans="2:13" ht="23.1" customHeight="1">
      <c r="B9" s="1978" t="s">
        <v>245</v>
      </c>
      <c r="C9" s="238" t="s">
        <v>178</v>
      </c>
      <c r="D9" s="239">
        <v>8037</v>
      </c>
      <c r="E9" s="239">
        <v>8037</v>
      </c>
      <c r="F9" s="239">
        <v>0</v>
      </c>
      <c r="G9" s="239">
        <v>0</v>
      </c>
      <c r="H9" s="239">
        <v>0</v>
      </c>
      <c r="I9" s="239">
        <v>0</v>
      </c>
      <c r="J9" s="247">
        <v>0</v>
      </c>
    </row>
    <row r="10" spans="2:13" ht="23.1" customHeight="1">
      <c r="B10" s="1979"/>
      <c r="C10" s="242" t="s">
        <v>179</v>
      </c>
      <c r="D10" s="243" t="s">
        <v>93</v>
      </c>
      <c r="E10" s="243">
        <v>100</v>
      </c>
      <c r="F10" s="243">
        <v>0</v>
      </c>
      <c r="G10" s="243">
        <v>0</v>
      </c>
      <c r="H10" s="243">
        <v>0</v>
      </c>
      <c r="I10" s="243">
        <v>0</v>
      </c>
      <c r="J10" s="248">
        <v>0</v>
      </c>
    </row>
    <row r="11" spans="2:13" ht="23.1" customHeight="1">
      <c r="B11" s="1978" t="s">
        <v>353</v>
      </c>
      <c r="C11" s="238" t="s">
        <v>178</v>
      </c>
      <c r="D11" s="239">
        <v>60326</v>
      </c>
      <c r="E11" s="239">
        <v>60326</v>
      </c>
      <c r="F11" s="239">
        <v>0</v>
      </c>
      <c r="G11" s="239">
        <v>0</v>
      </c>
      <c r="H11" s="239">
        <v>0</v>
      </c>
      <c r="I11" s="239">
        <v>0</v>
      </c>
      <c r="J11" s="247">
        <v>0</v>
      </c>
    </row>
    <row r="12" spans="2:13" ht="23.1" customHeight="1">
      <c r="B12" s="1979"/>
      <c r="C12" s="242" t="s">
        <v>179</v>
      </c>
      <c r="D12" s="243" t="s">
        <v>93</v>
      </c>
      <c r="E12" s="243">
        <v>500</v>
      </c>
      <c r="F12" s="243">
        <v>0</v>
      </c>
      <c r="G12" s="243">
        <v>0</v>
      </c>
      <c r="H12" s="243">
        <v>0</v>
      </c>
      <c r="I12" s="243">
        <v>0</v>
      </c>
      <c r="J12" s="248">
        <v>0</v>
      </c>
    </row>
    <row r="13" spans="2:13" ht="23.1" customHeight="1">
      <c r="B13" s="1978" t="s">
        <v>352</v>
      </c>
      <c r="C13" s="238" t="s">
        <v>178</v>
      </c>
      <c r="D13" s="239">
        <v>146366</v>
      </c>
      <c r="E13" s="239">
        <v>146366</v>
      </c>
      <c r="F13" s="239">
        <v>0</v>
      </c>
      <c r="G13" s="239">
        <v>0</v>
      </c>
      <c r="H13" s="239">
        <v>0</v>
      </c>
      <c r="I13" s="239">
        <v>0</v>
      </c>
      <c r="J13" s="247">
        <v>0</v>
      </c>
    </row>
    <row r="14" spans="2:13" ht="23.1" customHeight="1">
      <c r="B14" s="1979"/>
      <c r="C14" s="242" t="s">
        <v>179</v>
      </c>
      <c r="D14" s="243" t="s">
        <v>93</v>
      </c>
      <c r="E14" s="243">
        <v>1000</v>
      </c>
      <c r="F14" s="243">
        <v>0</v>
      </c>
      <c r="G14" s="243">
        <v>0</v>
      </c>
      <c r="H14" s="243">
        <v>0</v>
      </c>
      <c r="I14" s="243">
        <v>0</v>
      </c>
      <c r="J14" s="248">
        <v>0</v>
      </c>
    </row>
    <row r="15" spans="2:13" ht="27" customHeight="1">
      <c r="B15" s="249" t="s">
        <v>180</v>
      </c>
      <c r="C15" s="250"/>
      <c r="D15" s="251">
        <f>SUM(D7:D14)</f>
        <v>344729</v>
      </c>
      <c r="E15" s="251">
        <f t="shared" ref="E15:J15" si="0">E7+E9+E11+E13</f>
        <v>344729</v>
      </c>
      <c r="F15" s="251">
        <f t="shared" si="0"/>
        <v>0</v>
      </c>
      <c r="G15" s="251">
        <f t="shared" si="0"/>
        <v>0</v>
      </c>
      <c r="H15" s="251">
        <f t="shared" si="0"/>
        <v>0</v>
      </c>
      <c r="I15" s="251">
        <f t="shared" si="0"/>
        <v>0</v>
      </c>
      <c r="J15" s="252">
        <f t="shared" si="0"/>
        <v>0</v>
      </c>
    </row>
    <row r="16" spans="2:13" ht="23.1" customHeight="1">
      <c r="B16" s="1980" t="s">
        <v>247</v>
      </c>
      <c r="C16" s="253" t="s">
        <v>178</v>
      </c>
      <c r="D16" s="240">
        <v>35461.324000000001</v>
      </c>
      <c r="E16" s="240">
        <v>35461</v>
      </c>
      <c r="F16" s="254">
        <v>0</v>
      </c>
      <c r="G16" s="254">
        <v>0</v>
      </c>
      <c r="H16" s="254">
        <v>0</v>
      </c>
      <c r="I16" s="254">
        <v>0</v>
      </c>
      <c r="J16" s="255">
        <v>0</v>
      </c>
    </row>
    <row r="17" spans="2:13" ht="23.1" customHeight="1">
      <c r="B17" s="1981"/>
      <c r="C17" s="256" t="s">
        <v>179</v>
      </c>
      <c r="D17" s="257"/>
      <c r="E17" s="258">
        <v>400</v>
      </c>
      <c r="F17" s="258">
        <v>0</v>
      </c>
      <c r="G17" s="258">
        <v>0</v>
      </c>
      <c r="H17" s="258">
        <v>0</v>
      </c>
      <c r="I17" s="258">
        <v>0</v>
      </c>
      <c r="J17" s="259">
        <v>0</v>
      </c>
    </row>
    <row r="18" spans="2:13" ht="23.1" customHeight="1">
      <c r="B18" s="1980" t="s">
        <v>246</v>
      </c>
      <c r="C18" s="253" t="s">
        <v>178</v>
      </c>
      <c r="D18" s="240">
        <v>79232</v>
      </c>
      <c r="E18" s="240">
        <v>79232</v>
      </c>
      <c r="F18" s="254">
        <v>0</v>
      </c>
      <c r="G18" s="254">
        <v>0</v>
      </c>
      <c r="H18" s="254">
        <v>0</v>
      </c>
      <c r="I18" s="254">
        <v>0</v>
      </c>
      <c r="J18" s="255">
        <v>0</v>
      </c>
    </row>
    <row r="19" spans="2:13" ht="23.1" customHeight="1">
      <c r="B19" s="1981"/>
      <c r="C19" s="256" t="s">
        <v>179</v>
      </c>
      <c r="D19" s="257" t="s">
        <v>93</v>
      </c>
      <c r="E19" s="258">
        <v>600</v>
      </c>
      <c r="F19" s="258">
        <v>0</v>
      </c>
      <c r="G19" s="258">
        <v>0</v>
      </c>
      <c r="H19" s="258">
        <v>0</v>
      </c>
      <c r="I19" s="258">
        <v>0</v>
      </c>
      <c r="J19" s="259">
        <v>0</v>
      </c>
    </row>
    <row r="20" spans="2:13" ht="27" customHeight="1">
      <c r="B20" s="249" t="s">
        <v>195</v>
      </c>
      <c r="C20" s="260"/>
      <c r="D20" s="257">
        <f>SUM(D16:D19)</f>
        <v>114693.32399999999</v>
      </c>
      <c r="E20" s="257">
        <f t="shared" ref="E20:J20" si="1">E16+E18</f>
        <v>114693</v>
      </c>
      <c r="F20" s="257">
        <f t="shared" si="1"/>
        <v>0</v>
      </c>
      <c r="G20" s="257">
        <f t="shared" si="1"/>
        <v>0</v>
      </c>
      <c r="H20" s="257">
        <f t="shared" si="1"/>
        <v>0</v>
      </c>
      <c r="I20" s="257">
        <f t="shared" si="1"/>
        <v>0</v>
      </c>
      <c r="J20" s="261">
        <f t="shared" si="1"/>
        <v>0</v>
      </c>
    </row>
    <row r="21" spans="2:13" ht="23.1" customHeight="1">
      <c r="B21" s="262" t="s">
        <v>181</v>
      </c>
      <c r="C21" s="263"/>
      <c r="D21" s="1982">
        <f>D15+D20</f>
        <v>459422.32400000002</v>
      </c>
      <c r="E21" s="264">
        <f t="shared" ref="E21:J21" si="2">E7+E9+E11+E13+E16+E18</f>
        <v>459422</v>
      </c>
      <c r="F21" s="264">
        <f t="shared" si="2"/>
        <v>0</v>
      </c>
      <c r="G21" s="264">
        <f t="shared" si="2"/>
        <v>0</v>
      </c>
      <c r="H21" s="264">
        <f t="shared" si="2"/>
        <v>0</v>
      </c>
      <c r="I21" s="264">
        <f t="shared" si="2"/>
        <v>0</v>
      </c>
      <c r="J21" s="265">
        <f t="shared" si="2"/>
        <v>0</v>
      </c>
    </row>
    <row r="22" spans="2:13" ht="23.1" customHeight="1">
      <c r="B22" s="266" t="s">
        <v>182</v>
      </c>
      <c r="C22" s="267"/>
      <c r="D22" s="1983"/>
      <c r="E22" s="268">
        <f>E8+E10+E12+E17+E19+E14</f>
        <v>3600</v>
      </c>
      <c r="F22" s="268">
        <f>F8+F10+F12+F17+F19</f>
        <v>0</v>
      </c>
      <c r="G22" s="268">
        <f>G8+G10+G12+G17+G19</f>
        <v>0</v>
      </c>
      <c r="H22" s="268">
        <f>H8+H10+H12+H17+H19</f>
        <v>0</v>
      </c>
      <c r="I22" s="268">
        <f>I8+I10+I12+I17+I19</f>
        <v>0</v>
      </c>
      <c r="J22" s="269">
        <f>J8+J10+J12+J17+J19</f>
        <v>0</v>
      </c>
    </row>
    <row r="23" spans="2:13" ht="21" customHeight="1">
      <c r="B23" s="1974" t="s">
        <v>248</v>
      </c>
      <c r="C23" s="1969"/>
      <c r="D23" s="141"/>
      <c r="E23" s="1976">
        <f t="shared" ref="E23:J23" si="3">SUM(E21:E22)</f>
        <v>463022</v>
      </c>
      <c r="F23" s="1976">
        <f t="shared" si="3"/>
        <v>0</v>
      </c>
      <c r="G23" s="1976">
        <f t="shared" si="3"/>
        <v>0</v>
      </c>
      <c r="H23" s="1976">
        <f t="shared" si="3"/>
        <v>0</v>
      </c>
      <c r="I23" s="1976">
        <f t="shared" si="3"/>
        <v>0</v>
      </c>
      <c r="J23" s="1972">
        <f t="shared" si="3"/>
        <v>0</v>
      </c>
    </row>
    <row r="24" spans="2:13" ht="21" customHeight="1" thickBot="1">
      <c r="B24" s="1975"/>
      <c r="C24" s="1970"/>
      <c r="D24" s="270"/>
      <c r="E24" s="1977"/>
      <c r="F24" s="1977"/>
      <c r="G24" s="1977"/>
      <c r="H24" s="1977"/>
      <c r="I24" s="1977"/>
      <c r="J24" s="1973"/>
    </row>
    <row r="25" spans="2:13" ht="30.75" customHeight="1" thickBot="1">
      <c r="B25" s="271" t="s">
        <v>556</v>
      </c>
      <c r="C25" s="272"/>
      <c r="D25" s="273"/>
      <c r="E25" s="273">
        <v>20000</v>
      </c>
      <c r="F25" s="273">
        <v>20000</v>
      </c>
      <c r="G25" s="273">
        <v>20000</v>
      </c>
      <c r="H25" s="273">
        <v>400000</v>
      </c>
      <c r="I25" s="273">
        <v>300000</v>
      </c>
      <c r="J25" s="274">
        <v>100000</v>
      </c>
      <c r="K25" s="156"/>
      <c r="L25" s="132"/>
      <c r="M25" s="132" t="s">
        <v>98</v>
      </c>
    </row>
    <row r="26" spans="2:13" ht="11.1" customHeight="1">
      <c r="B26" s="156"/>
      <c r="C26" s="150"/>
      <c r="D26" s="270"/>
      <c r="E26" s="270"/>
      <c r="F26" s="270"/>
      <c r="G26" s="270"/>
      <c r="H26" s="150"/>
      <c r="I26" s="150"/>
    </row>
    <row r="27" spans="2:13" ht="11.1" customHeight="1">
      <c r="B27" s="156"/>
      <c r="C27" s="150"/>
      <c r="D27" s="270"/>
      <c r="E27" s="270"/>
      <c r="F27" s="270"/>
      <c r="G27" s="270"/>
      <c r="H27" s="150"/>
      <c r="I27" s="150"/>
    </row>
    <row r="28" spans="2:13" ht="12" hidden="1" customHeight="1"/>
    <row r="29" spans="2:13" ht="12" customHeight="1"/>
    <row r="30" spans="2:13">
      <c r="B30" s="1971" t="s">
        <v>348</v>
      </c>
      <c r="C30" s="1961"/>
      <c r="D30" s="1961"/>
      <c r="E30" s="1961"/>
      <c r="F30" s="1961"/>
      <c r="G30" s="1961"/>
      <c r="H30" s="1961"/>
      <c r="I30" s="1961"/>
      <c r="J30" s="1961"/>
    </row>
    <row r="31" spans="2:13" ht="18" customHeight="1" thickBot="1">
      <c r="B31" s="155"/>
      <c r="C31" s="155"/>
      <c r="D31" s="275"/>
      <c r="E31" s="275"/>
      <c r="F31" s="275"/>
      <c r="G31" s="275"/>
      <c r="H31" s="155"/>
      <c r="I31" s="155"/>
      <c r="J31" s="102"/>
    </row>
    <row r="32" spans="2:13" ht="36" customHeight="1" thickBot="1">
      <c r="B32" s="117" t="s">
        <v>110</v>
      </c>
      <c r="C32" s="1967" t="s">
        <v>336</v>
      </c>
      <c r="D32" s="1967"/>
      <c r="E32" s="1967"/>
      <c r="F32" s="1967"/>
      <c r="G32" s="1967"/>
      <c r="H32" s="1967"/>
      <c r="I32" s="1967"/>
      <c r="J32" s="1968"/>
    </row>
    <row r="33" spans="2:10" s="103" customFormat="1" ht="18" customHeight="1">
      <c r="B33" s="115"/>
      <c r="C33" s="116" t="s">
        <v>327</v>
      </c>
      <c r="D33" s="276" t="s">
        <v>328</v>
      </c>
      <c r="E33" s="276" t="s">
        <v>329</v>
      </c>
      <c r="F33" s="276" t="s">
        <v>330</v>
      </c>
      <c r="G33" s="276" t="s">
        <v>331</v>
      </c>
      <c r="H33" s="116" t="s">
        <v>332</v>
      </c>
      <c r="I33" s="116" t="s">
        <v>333</v>
      </c>
      <c r="J33" s="291" t="s">
        <v>334</v>
      </c>
    </row>
    <row r="34" spans="2:10">
      <c r="B34" s="277" t="s">
        <v>557</v>
      </c>
      <c r="C34" s="158">
        <v>809000</v>
      </c>
      <c r="D34" s="158">
        <v>817000</v>
      </c>
      <c r="E34" s="158">
        <v>825000</v>
      </c>
      <c r="F34" s="158">
        <v>833000</v>
      </c>
      <c r="G34" s="158">
        <v>833000</v>
      </c>
      <c r="H34" s="158">
        <v>833000</v>
      </c>
      <c r="I34" s="158">
        <v>833000</v>
      </c>
      <c r="J34" s="164">
        <v>833000</v>
      </c>
    </row>
    <row r="35" spans="2:10" ht="16.5" customHeight="1">
      <c r="B35" s="277" t="s">
        <v>321</v>
      </c>
      <c r="C35" s="158">
        <v>71780</v>
      </c>
      <c r="D35" s="158">
        <v>71780</v>
      </c>
      <c r="E35" s="158">
        <v>71780</v>
      </c>
      <c r="F35" s="158">
        <v>71780</v>
      </c>
      <c r="G35" s="158">
        <v>71780</v>
      </c>
      <c r="H35" s="158">
        <v>71780</v>
      </c>
      <c r="I35" s="158">
        <v>71780</v>
      </c>
      <c r="J35" s="164">
        <v>71780</v>
      </c>
    </row>
    <row r="36" spans="2:10">
      <c r="B36" s="277" t="s">
        <v>322</v>
      </c>
      <c r="C36" s="158"/>
      <c r="D36" s="158"/>
      <c r="E36" s="158"/>
      <c r="F36" s="158"/>
      <c r="G36" s="158"/>
      <c r="H36" s="158"/>
      <c r="I36" s="158"/>
      <c r="J36" s="164"/>
    </row>
    <row r="37" spans="2:10" ht="30">
      <c r="B37" s="278" t="s">
        <v>323</v>
      </c>
      <c r="C37" s="287">
        <v>0</v>
      </c>
      <c r="D37" s="287">
        <v>0</v>
      </c>
      <c r="E37" s="287">
        <v>0</v>
      </c>
      <c r="F37" s="287">
        <v>0</v>
      </c>
      <c r="G37" s="287">
        <v>0</v>
      </c>
      <c r="H37" s="287">
        <v>0</v>
      </c>
      <c r="I37" s="287">
        <v>0</v>
      </c>
      <c r="J37" s="292">
        <v>0</v>
      </c>
    </row>
    <row r="38" spans="2:10">
      <c r="B38" s="277" t="s">
        <v>324</v>
      </c>
      <c r="C38" s="158"/>
      <c r="D38" s="158"/>
      <c r="E38" s="158"/>
      <c r="F38" s="158"/>
      <c r="G38" s="158"/>
      <c r="H38" s="158"/>
      <c r="I38" s="158"/>
      <c r="J38" s="164"/>
    </row>
    <row r="39" spans="2:10">
      <c r="B39" s="277" t="s">
        <v>325</v>
      </c>
      <c r="C39" s="158"/>
      <c r="D39" s="158"/>
      <c r="E39" s="158"/>
      <c r="F39" s="158"/>
      <c r="G39" s="158"/>
      <c r="H39" s="158"/>
      <c r="I39" s="158"/>
      <c r="J39" s="164"/>
    </row>
    <row r="40" spans="2:10" ht="15.75" thickBot="1">
      <c r="B40" s="279" t="s">
        <v>326</v>
      </c>
      <c r="C40" s="160">
        <v>20000</v>
      </c>
      <c r="D40" s="160">
        <v>20000</v>
      </c>
      <c r="E40" s="160">
        <v>20000</v>
      </c>
      <c r="F40" s="160">
        <v>400000</v>
      </c>
      <c r="G40" s="160">
        <v>300000</v>
      </c>
      <c r="H40" s="160">
        <v>100000</v>
      </c>
      <c r="I40" s="160"/>
      <c r="J40" s="169"/>
    </row>
    <row r="41" spans="2:10" ht="15.75" thickBot="1">
      <c r="B41" s="280" t="s">
        <v>335</v>
      </c>
      <c r="C41" s="161">
        <f>SUM(C34:C40)</f>
        <v>900780</v>
      </c>
      <c r="D41" s="161">
        <f t="shared" ref="D41:J41" si="4">SUM(D34:D40)</f>
        <v>908780</v>
      </c>
      <c r="E41" s="161">
        <f t="shared" si="4"/>
        <v>916780</v>
      </c>
      <c r="F41" s="161">
        <f t="shared" si="4"/>
        <v>1304780</v>
      </c>
      <c r="G41" s="161">
        <f t="shared" si="4"/>
        <v>1204780</v>
      </c>
      <c r="H41" s="161">
        <f t="shared" si="4"/>
        <v>1004780</v>
      </c>
      <c r="I41" s="161">
        <f t="shared" si="4"/>
        <v>904780</v>
      </c>
      <c r="J41" s="166">
        <f t="shared" si="4"/>
        <v>904780</v>
      </c>
    </row>
    <row r="42" spans="2:10" ht="28.9" customHeight="1" thickBot="1">
      <c r="B42" s="102"/>
      <c r="C42" s="102"/>
      <c r="D42" s="281"/>
      <c r="E42" s="281"/>
      <c r="F42" s="281"/>
      <c r="G42" s="281"/>
      <c r="H42" s="102"/>
      <c r="I42" s="102"/>
      <c r="J42" s="102"/>
    </row>
    <row r="43" spans="2:10" ht="29.25" customHeight="1" thickBot="1">
      <c r="B43" s="117" t="s">
        <v>110</v>
      </c>
      <c r="C43" s="1967" t="s">
        <v>337</v>
      </c>
      <c r="D43" s="1967"/>
      <c r="E43" s="1967"/>
      <c r="F43" s="1967"/>
      <c r="G43" s="1967"/>
      <c r="H43" s="1967"/>
      <c r="I43" s="1967"/>
      <c r="J43" s="1968"/>
    </row>
    <row r="44" spans="2:10" ht="15.75" thickBot="1">
      <c r="B44" s="167"/>
      <c r="C44" s="282" t="s">
        <v>327</v>
      </c>
      <c r="D44" s="283" t="s">
        <v>328</v>
      </c>
      <c r="E44" s="283" t="s">
        <v>329</v>
      </c>
      <c r="F44" s="283" t="s">
        <v>330</v>
      </c>
      <c r="G44" s="283" t="s">
        <v>331</v>
      </c>
      <c r="H44" s="282" t="s">
        <v>332</v>
      </c>
      <c r="I44" s="282" t="s">
        <v>333</v>
      </c>
      <c r="J44" s="289" t="s">
        <v>334</v>
      </c>
    </row>
    <row r="45" spans="2:10" ht="15.75" thickBot="1">
      <c r="B45" s="284" t="s">
        <v>338</v>
      </c>
      <c r="C45" s="288">
        <f>SUM(C46:C52)</f>
        <v>20000</v>
      </c>
      <c r="D45" s="288">
        <f t="shared" ref="D45:J45" si="5">SUM(D46:D52)</f>
        <v>20000</v>
      </c>
      <c r="E45" s="288">
        <f t="shared" si="5"/>
        <v>20000</v>
      </c>
      <c r="F45" s="288">
        <f t="shared" si="5"/>
        <v>400000</v>
      </c>
      <c r="G45" s="288">
        <f t="shared" si="5"/>
        <v>300000</v>
      </c>
      <c r="H45" s="288">
        <f t="shared" si="5"/>
        <v>100000</v>
      </c>
      <c r="I45" s="288">
        <f t="shared" si="5"/>
        <v>0</v>
      </c>
      <c r="J45" s="290">
        <f t="shared" si="5"/>
        <v>0</v>
      </c>
    </row>
    <row r="46" spans="2:10">
      <c r="B46" s="285" t="s">
        <v>339</v>
      </c>
      <c r="C46" s="142">
        <v>0</v>
      </c>
      <c r="D46" s="142">
        <v>0</v>
      </c>
      <c r="E46" s="142">
        <v>0</v>
      </c>
      <c r="F46" s="142">
        <v>0</v>
      </c>
      <c r="G46" s="142">
        <v>0</v>
      </c>
      <c r="H46" s="142">
        <v>0</v>
      </c>
      <c r="I46" s="142">
        <v>0</v>
      </c>
      <c r="J46" s="170">
        <v>0</v>
      </c>
    </row>
    <row r="47" spans="2:10">
      <c r="B47" s="277" t="s">
        <v>340</v>
      </c>
      <c r="C47" s="158"/>
      <c r="D47" s="158"/>
      <c r="E47" s="158"/>
      <c r="F47" s="158"/>
      <c r="G47" s="158"/>
      <c r="H47" s="158"/>
      <c r="I47" s="158"/>
      <c r="J47" s="164"/>
    </row>
    <row r="48" spans="2:10">
      <c r="B48" s="277" t="s">
        <v>341</v>
      </c>
      <c r="C48" s="158"/>
      <c r="D48" s="158"/>
      <c r="E48" s="158"/>
      <c r="F48" s="158"/>
      <c r="G48" s="158"/>
      <c r="H48" s="158"/>
      <c r="I48" s="158"/>
      <c r="J48" s="164"/>
    </row>
    <row r="49" spans="2:10">
      <c r="B49" s="277" t="s">
        <v>342</v>
      </c>
      <c r="C49" s="158"/>
      <c r="D49" s="158"/>
      <c r="E49" s="158"/>
      <c r="F49" s="158"/>
      <c r="G49" s="158"/>
      <c r="H49" s="158"/>
      <c r="I49" s="158"/>
      <c r="J49" s="164"/>
    </row>
    <row r="50" spans="2:10">
      <c r="B50" s="277" t="s">
        <v>343</v>
      </c>
      <c r="C50" s="158"/>
      <c r="D50" s="158"/>
      <c r="E50" s="158"/>
      <c r="F50" s="158"/>
      <c r="G50" s="158"/>
      <c r="H50" s="158"/>
      <c r="I50" s="158"/>
      <c r="J50" s="164"/>
    </row>
    <row r="51" spans="2:10">
      <c r="B51" s="277" t="s">
        <v>344</v>
      </c>
      <c r="C51" s="158"/>
      <c r="D51" s="158"/>
      <c r="E51" s="158"/>
      <c r="F51" s="158"/>
      <c r="G51" s="158"/>
      <c r="H51" s="158"/>
      <c r="I51" s="158"/>
      <c r="J51" s="164"/>
    </row>
    <row r="52" spans="2:10" ht="15.75" thickBot="1">
      <c r="B52" s="279" t="s">
        <v>345</v>
      </c>
      <c r="C52" s="160">
        <v>20000</v>
      </c>
      <c r="D52" s="160">
        <v>20000</v>
      </c>
      <c r="E52" s="160">
        <v>20000</v>
      </c>
      <c r="F52" s="160">
        <v>400000</v>
      </c>
      <c r="G52" s="160">
        <v>300000</v>
      </c>
      <c r="H52" s="160">
        <v>100000</v>
      </c>
      <c r="I52" s="160">
        <v>0</v>
      </c>
      <c r="J52" s="169">
        <v>0</v>
      </c>
    </row>
    <row r="53" spans="2:10" ht="29.25" thickBot="1">
      <c r="B53" s="286" t="s">
        <v>558</v>
      </c>
      <c r="C53" s="288">
        <v>0</v>
      </c>
      <c r="D53" s="288">
        <f>SUM(D54:D60)</f>
        <v>26000</v>
      </c>
      <c r="E53" s="288">
        <f t="shared" ref="E53:J53" si="6">SUM(E54:E60)</f>
        <v>26000</v>
      </c>
      <c r="F53" s="288">
        <f t="shared" si="6"/>
        <v>26000</v>
      </c>
      <c r="G53" s="288">
        <f t="shared" si="6"/>
        <v>26000</v>
      </c>
      <c r="H53" s="288">
        <f t="shared" si="6"/>
        <v>26000</v>
      </c>
      <c r="I53" s="288">
        <f t="shared" si="6"/>
        <v>0</v>
      </c>
      <c r="J53" s="290">
        <f t="shared" si="6"/>
        <v>0</v>
      </c>
    </row>
    <row r="54" spans="2:10">
      <c r="B54" s="285" t="s">
        <v>339</v>
      </c>
      <c r="C54" s="142"/>
      <c r="D54" s="142">
        <v>26000</v>
      </c>
      <c r="E54" s="142">
        <v>26000</v>
      </c>
      <c r="F54" s="142">
        <v>26000</v>
      </c>
      <c r="G54" s="142">
        <v>26000</v>
      </c>
      <c r="H54" s="142">
        <v>26000</v>
      </c>
      <c r="I54" s="142"/>
      <c r="J54" s="170"/>
    </row>
    <row r="55" spans="2:10">
      <c r="B55" s="277" t="s">
        <v>340</v>
      </c>
      <c r="C55" s="158"/>
      <c r="D55" s="158"/>
      <c r="E55" s="158"/>
      <c r="F55" s="158"/>
      <c r="G55" s="158"/>
      <c r="H55" s="158"/>
      <c r="I55" s="158"/>
      <c r="J55" s="164"/>
    </row>
    <row r="56" spans="2:10">
      <c r="B56" s="277" t="s">
        <v>341</v>
      </c>
      <c r="C56" s="158"/>
      <c r="D56" s="158"/>
      <c r="E56" s="158"/>
      <c r="F56" s="158"/>
      <c r="G56" s="158"/>
      <c r="H56" s="158"/>
      <c r="I56" s="158"/>
      <c r="J56" s="164"/>
    </row>
    <row r="57" spans="2:10">
      <c r="B57" s="277" t="s">
        <v>342</v>
      </c>
      <c r="C57" s="158"/>
      <c r="D57" s="158"/>
      <c r="E57" s="158"/>
      <c r="F57" s="158"/>
      <c r="G57" s="158"/>
      <c r="H57" s="158"/>
      <c r="I57" s="158"/>
      <c r="J57" s="164"/>
    </row>
    <row r="58" spans="2:10">
      <c r="B58" s="277" t="s">
        <v>343</v>
      </c>
      <c r="C58" s="158"/>
      <c r="D58" s="158"/>
      <c r="E58" s="158"/>
      <c r="F58" s="158"/>
      <c r="G58" s="158"/>
      <c r="H58" s="158"/>
      <c r="I58" s="158"/>
      <c r="J58" s="164"/>
    </row>
    <row r="59" spans="2:10">
      <c r="B59" s="277" t="s">
        <v>344</v>
      </c>
      <c r="C59" s="158"/>
      <c r="D59" s="158"/>
      <c r="E59" s="158"/>
      <c r="F59" s="158"/>
      <c r="G59" s="158"/>
      <c r="H59" s="158"/>
      <c r="I59" s="158"/>
      <c r="J59" s="164"/>
    </row>
    <row r="60" spans="2:10" ht="15.75" thickBot="1">
      <c r="B60" s="279" t="s">
        <v>345</v>
      </c>
      <c r="C60" s="160"/>
      <c r="D60" s="160"/>
      <c r="E60" s="160"/>
      <c r="F60" s="160"/>
      <c r="G60" s="160"/>
      <c r="H60" s="160"/>
      <c r="I60" s="160"/>
      <c r="J60" s="169"/>
    </row>
    <row r="61" spans="2:10" ht="15.75" thickBot="1">
      <c r="B61" s="284" t="s">
        <v>347</v>
      </c>
      <c r="C61" s="161">
        <f>C45+C53</f>
        <v>20000</v>
      </c>
      <c r="D61" s="161">
        <f t="shared" ref="D61:J61" si="7">D45+D53</f>
        <v>46000</v>
      </c>
      <c r="E61" s="161">
        <f t="shared" si="7"/>
        <v>46000</v>
      </c>
      <c r="F61" s="161">
        <f t="shared" si="7"/>
        <v>426000</v>
      </c>
      <c r="G61" s="161">
        <f t="shared" si="7"/>
        <v>326000</v>
      </c>
      <c r="H61" s="161">
        <f t="shared" si="7"/>
        <v>126000</v>
      </c>
      <c r="I61" s="161">
        <f t="shared" si="7"/>
        <v>0</v>
      </c>
      <c r="J61" s="166">
        <f t="shared" si="7"/>
        <v>0</v>
      </c>
    </row>
    <row r="62" spans="2:10">
      <c r="B62" s="102"/>
      <c r="C62" s="102"/>
      <c r="D62" s="281"/>
      <c r="E62" s="281"/>
      <c r="F62" s="281"/>
      <c r="G62" s="281"/>
      <c r="H62" s="102"/>
      <c r="I62" s="102"/>
      <c r="J62" s="102"/>
    </row>
  </sheetData>
  <mergeCells count="27">
    <mergeCell ref="B7:B8"/>
    <mergeCell ref="B13:B14"/>
    <mergeCell ref="B18:B19"/>
    <mergeCell ref="D21:D22"/>
    <mergeCell ref="B11:B12"/>
    <mergeCell ref="B16:B17"/>
    <mergeCell ref="B9:B10"/>
    <mergeCell ref="C32:J32"/>
    <mergeCell ref="C43:J43"/>
    <mergeCell ref="C23:C24"/>
    <mergeCell ref="B30:J30"/>
    <mergeCell ref="J23:J24"/>
    <mergeCell ref="B23:B24"/>
    <mergeCell ref="I23:I24"/>
    <mergeCell ref="H23:H24"/>
    <mergeCell ref="E23:E24"/>
    <mergeCell ref="F23:F24"/>
    <mergeCell ref="G23:G24"/>
    <mergeCell ref="J5:J6"/>
    <mergeCell ref="I5:I6"/>
    <mergeCell ref="B2:J2"/>
    <mergeCell ref="C5:D5"/>
    <mergeCell ref="B5:B6"/>
    <mergeCell ref="E5:E6"/>
    <mergeCell ref="F5:F6"/>
    <mergeCell ref="H5:H6"/>
    <mergeCell ref="G5:G6"/>
  </mergeCells>
  <phoneticPr fontId="6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83" fitToHeight="2" orientation="landscape" r:id="rId1"/>
  <headerFooter alignWithMargins="0">
    <oddHeader>&amp;L&amp;"Arial,Dőlt"&amp;U16. melléklet a 15/2015. (V.29.) önkormányzati rendelethez</oddHeader>
    <oddFooter>&amp;C&amp;9Nagykőrös Város Önkormányzat 2014. évi zárszámadási rendelete</oddFooter>
  </headerFooter>
  <rowBreaks count="1" manualBreakCount="1">
    <brk id="28" max="9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view="pageLayout" zoomScaleNormal="100" zoomScaleSheetLayoutView="90" workbookViewId="0">
      <selection activeCell="B10" sqref="B10"/>
    </sheetView>
  </sheetViews>
  <sheetFormatPr defaultRowHeight="15"/>
  <cols>
    <col min="1" max="1" width="4.140625" style="296" customWidth="1"/>
    <col min="2" max="2" width="33.85546875" style="303" customWidth="1"/>
    <col min="3" max="3" width="10" style="303" customWidth="1"/>
    <col min="4" max="4" width="9.5703125" style="303" customWidth="1"/>
    <col min="5" max="5" width="10.140625" style="303" customWidth="1"/>
    <col min="6" max="8" width="9.85546875" style="303" customWidth="1"/>
    <col min="9" max="14" width="10.140625" style="303" customWidth="1"/>
    <col min="15" max="15" width="11.5703125" style="296" customWidth="1"/>
    <col min="16" max="254" width="9.140625" style="303"/>
    <col min="255" max="255" width="4.140625" style="303" customWidth="1"/>
    <col min="256" max="256" width="25.5703125" style="303" customWidth="1"/>
    <col min="257" max="258" width="7.7109375" style="303" customWidth="1"/>
    <col min="259" max="259" width="8.140625" style="303" customWidth="1"/>
    <col min="260" max="260" width="7.5703125" style="303" customWidth="1"/>
    <col min="261" max="261" width="7.42578125" style="303" customWidth="1"/>
    <col min="262" max="262" width="7.5703125" style="303" customWidth="1"/>
    <col min="263" max="263" width="7" style="303" customWidth="1"/>
    <col min="264" max="268" width="8.140625" style="303" customWidth="1"/>
    <col min="269" max="269" width="10.85546875" style="303" customWidth="1"/>
    <col min="270" max="510" width="9.140625" style="303"/>
    <col min="511" max="511" width="4.140625" style="303" customWidth="1"/>
    <col min="512" max="512" width="25.5703125" style="303" customWidth="1"/>
    <col min="513" max="514" width="7.7109375" style="303" customWidth="1"/>
    <col min="515" max="515" width="8.140625" style="303" customWidth="1"/>
    <col min="516" max="516" width="7.5703125" style="303" customWidth="1"/>
    <col min="517" max="517" width="7.42578125" style="303" customWidth="1"/>
    <col min="518" max="518" width="7.5703125" style="303" customWidth="1"/>
    <col min="519" max="519" width="7" style="303" customWidth="1"/>
    <col min="520" max="524" width="8.140625" style="303" customWidth="1"/>
    <col min="525" max="525" width="10.85546875" style="303" customWidth="1"/>
    <col min="526" max="766" width="9.140625" style="303"/>
    <col min="767" max="767" width="4.140625" style="303" customWidth="1"/>
    <col min="768" max="768" width="25.5703125" style="303" customWidth="1"/>
    <col min="769" max="770" width="7.7109375" style="303" customWidth="1"/>
    <col min="771" max="771" width="8.140625" style="303" customWidth="1"/>
    <col min="772" max="772" width="7.5703125" style="303" customWidth="1"/>
    <col min="773" max="773" width="7.42578125" style="303" customWidth="1"/>
    <col min="774" max="774" width="7.5703125" style="303" customWidth="1"/>
    <col min="775" max="775" width="7" style="303" customWidth="1"/>
    <col min="776" max="780" width="8.140625" style="303" customWidth="1"/>
    <col min="781" max="781" width="10.85546875" style="303" customWidth="1"/>
    <col min="782" max="1022" width="9.140625" style="303"/>
    <col min="1023" max="1023" width="4.140625" style="303" customWidth="1"/>
    <col min="1024" max="1024" width="25.5703125" style="303" customWidth="1"/>
    <col min="1025" max="1026" width="7.7109375" style="303" customWidth="1"/>
    <col min="1027" max="1027" width="8.140625" style="303" customWidth="1"/>
    <col min="1028" max="1028" width="7.5703125" style="303" customWidth="1"/>
    <col min="1029" max="1029" width="7.42578125" style="303" customWidth="1"/>
    <col min="1030" max="1030" width="7.5703125" style="303" customWidth="1"/>
    <col min="1031" max="1031" width="7" style="303" customWidth="1"/>
    <col min="1032" max="1036" width="8.140625" style="303" customWidth="1"/>
    <col min="1037" max="1037" width="10.85546875" style="303" customWidth="1"/>
    <col min="1038" max="1278" width="9.140625" style="303"/>
    <col min="1279" max="1279" width="4.140625" style="303" customWidth="1"/>
    <col min="1280" max="1280" width="25.5703125" style="303" customWidth="1"/>
    <col min="1281" max="1282" width="7.7109375" style="303" customWidth="1"/>
    <col min="1283" max="1283" width="8.140625" style="303" customWidth="1"/>
    <col min="1284" max="1284" width="7.5703125" style="303" customWidth="1"/>
    <col min="1285" max="1285" width="7.42578125" style="303" customWidth="1"/>
    <col min="1286" max="1286" width="7.5703125" style="303" customWidth="1"/>
    <col min="1287" max="1287" width="7" style="303" customWidth="1"/>
    <col min="1288" max="1292" width="8.140625" style="303" customWidth="1"/>
    <col min="1293" max="1293" width="10.85546875" style="303" customWidth="1"/>
    <col min="1294" max="1534" width="9.140625" style="303"/>
    <col min="1535" max="1535" width="4.140625" style="303" customWidth="1"/>
    <col min="1536" max="1536" width="25.5703125" style="303" customWidth="1"/>
    <col min="1537" max="1538" width="7.7109375" style="303" customWidth="1"/>
    <col min="1539" max="1539" width="8.140625" style="303" customWidth="1"/>
    <col min="1540" max="1540" width="7.5703125" style="303" customWidth="1"/>
    <col min="1541" max="1541" width="7.42578125" style="303" customWidth="1"/>
    <col min="1542" max="1542" width="7.5703125" style="303" customWidth="1"/>
    <col min="1543" max="1543" width="7" style="303" customWidth="1"/>
    <col min="1544" max="1548" width="8.140625" style="303" customWidth="1"/>
    <col min="1549" max="1549" width="10.85546875" style="303" customWidth="1"/>
    <col min="1550" max="1790" width="9.140625" style="303"/>
    <col min="1791" max="1791" width="4.140625" style="303" customWidth="1"/>
    <col min="1792" max="1792" width="25.5703125" style="303" customWidth="1"/>
    <col min="1793" max="1794" width="7.7109375" style="303" customWidth="1"/>
    <col min="1795" max="1795" width="8.140625" style="303" customWidth="1"/>
    <col min="1796" max="1796" width="7.5703125" style="303" customWidth="1"/>
    <col min="1797" max="1797" width="7.42578125" style="303" customWidth="1"/>
    <col min="1798" max="1798" width="7.5703125" style="303" customWidth="1"/>
    <col min="1799" max="1799" width="7" style="303" customWidth="1"/>
    <col min="1800" max="1804" width="8.140625" style="303" customWidth="1"/>
    <col min="1805" max="1805" width="10.85546875" style="303" customWidth="1"/>
    <col min="1806" max="2046" width="9.140625" style="303"/>
    <col min="2047" max="2047" width="4.140625" style="303" customWidth="1"/>
    <col min="2048" max="2048" width="25.5703125" style="303" customWidth="1"/>
    <col min="2049" max="2050" width="7.7109375" style="303" customWidth="1"/>
    <col min="2051" max="2051" width="8.140625" style="303" customWidth="1"/>
    <col min="2052" max="2052" width="7.5703125" style="303" customWidth="1"/>
    <col min="2053" max="2053" width="7.42578125" style="303" customWidth="1"/>
    <col min="2054" max="2054" width="7.5703125" style="303" customWidth="1"/>
    <col min="2055" max="2055" width="7" style="303" customWidth="1"/>
    <col min="2056" max="2060" width="8.140625" style="303" customWidth="1"/>
    <col min="2061" max="2061" width="10.85546875" style="303" customWidth="1"/>
    <col min="2062" max="2302" width="9.140625" style="303"/>
    <col min="2303" max="2303" width="4.140625" style="303" customWidth="1"/>
    <col min="2304" max="2304" width="25.5703125" style="303" customWidth="1"/>
    <col min="2305" max="2306" width="7.7109375" style="303" customWidth="1"/>
    <col min="2307" max="2307" width="8.140625" style="303" customWidth="1"/>
    <col min="2308" max="2308" width="7.5703125" style="303" customWidth="1"/>
    <col min="2309" max="2309" width="7.42578125" style="303" customWidth="1"/>
    <col min="2310" max="2310" width="7.5703125" style="303" customWidth="1"/>
    <col min="2311" max="2311" width="7" style="303" customWidth="1"/>
    <col min="2312" max="2316" width="8.140625" style="303" customWidth="1"/>
    <col min="2317" max="2317" width="10.85546875" style="303" customWidth="1"/>
    <col min="2318" max="2558" width="9.140625" style="303"/>
    <col min="2559" max="2559" width="4.140625" style="303" customWidth="1"/>
    <col min="2560" max="2560" width="25.5703125" style="303" customWidth="1"/>
    <col min="2561" max="2562" width="7.7109375" style="303" customWidth="1"/>
    <col min="2563" max="2563" width="8.140625" style="303" customWidth="1"/>
    <col min="2564" max="2564" width="7.5703125" style="303" customWidth="1"/>
    <col min="2565" max="2565" width="7.42578125" style="303" customWidth="1"/>
    <col min="2566" max="2566" width="7.5703125" style="303" customWidth="1"/>
    <col min="2567" max="2567" width="7" style="303" customWidth="1"/>
    <col min="2568" max="2572" width="8.140625" style="303" customWidth="1"/>
    <col min="2573" max="2573" width="10.85546875" style="303" customWidth="1"/>
    <col min="2574" max="2814" width="9.140625" style="303"/>
    <col min="2815" max="2815" width="4.140625" style="303" customWidth="1"/>
    <col min="2816" max="2816" width="25.5703125" style="303" customWidth="1"/>
    <col min="2817" max="2818" width="7.7109375" style="303" customWidth="1"/>
    <col min="2819" max="2819" width="8.140625" style="303" customWidth="1"/>
    <col min="2820" max="2820" width="7.5703125" style="303" customWidth="1"/>
    <col min="2821" max="2821" width="7.42578125" style="303" customWidth="1"/>
    <col min="2822" max="2822" width="7.5703125" style="303" customWidth="1"/>
    <col min="2823" max="2823" width="7" style="303" customWidth="1"/>
    <col min="2824" max="2828" width="8.140625" style="303" customWidth="1"/>
    <col min="2829" max="2829" width="10.85546875" style="303" customWidth="1"/>
    <col min="2830" max="3070" width="9.140625" style="303"/>
    <col min="3071" max="3071" width="4.140625" style="303" customWidth="1"/>
    <col min="3072" max="3072" width="25.5703125" style="303" customWidth="1"/>
    <col min="3073" max="3074" width="7.7109375" style="303" customWidth="1"/>
    <col min="3075" max="3075" width="8.140625" style="303" customWidth="1"/>
    <col min="3076" max="3076" width="7.5703125" style="303" customWidth="1"/>
    <col min="3077" max="3077" width="7.42578125" style="303" customWidth="1"/>
    <col min="3078" max="3078" width="7.5703125" style="303" customWidth="1"/>
    <col min="3079" max="3079" width="7" style="303" customWidth="1"/>
    <col min="3080" max="3084" width="8.140625" style="303" customWidth="1"/>
    <col min="3085" max="3085" width="10.85546875" style="303" customWidth="1"/>
    <col min="3086" max="3326" width="9.140625" style="303"/>
    <col min="3327" max="3327" width="4.140625" style="303" customWidth="1"/>
    <col min="3328" max="3328" width="25.5703125" style="303" customWidth="1"/>
    <col min="3329" max="3330" width="7.7109375" style="303" customWidth="1"/>
    <col min="3331" max="3331" width="8.140625" style="303" customWidth="1"/>
    <col min="3332" max="3332" width="7.5703125" style="303" customWidth="1"/>
    <col min="3333" max="3333" width="7.42578125" style="303" customWidth="1"/>
    <col min="3334" max="3334" width="7.5703125" style="303" customWidth="1"/>
    <col min="3335" max="3335" width="7" style="303" customWidth="1"/>
    <col min="3336" max="3340" width="8.140625" style="303" customWidth="1"/>
    <col min="3341" max="3341" width="10.85546875" style="303" customWidth="1"/>
    <col min="3342" max="3582" width="9.140625" style="303"/>
    <col min="3583" max="3583" width="4.140625" style="303" customWidth="1"/>
    <col min="3584" max="3584" width="25.5703125" style="303" customWidth="1"/>
    <col min="3585" max="3586" width="7.7109375" style="303" customWidth="1"/>
    <col min="3587" max="3587" width="8.140625" style="303" customWidth="1"/>
    <col min="3588" max="3588" width="7.5703125" style="303" customWidth="1"/>
    <col min="3589" max="3589" width="7.42578125" style="303" customWidth="1"/>
    <col min="3590" max="3590" width="7.5703125" style="303" customWidth="1"/>
    <col min="3591" max="3591" width="7" style="303" customWidth="1"/>
    <col min="3592" max="3596" width="8.140625" style="303" customWidth="1"/>
    <col min="3597" max="3597" width="10.85546875" style="303" customWidth="1"/>
    <col min="3598" max="3838" width="9.140625" style="303"/>
    <col min="3839" max="3839" width="4.140625" style="303" customWidth="1"/>
    <col min="3840" max="3840" width="25.5703125" style="303" customWidth="1"/>
    <col min="3841" max="3842" width="7.7109375" style="303" customWidth="1"/>
    <col min="3843" max="3843" width="8.140625" style="303" customWidth="1"/>
    <col min="3844" max="3844" width="7.5703125" style="303" customWidth="1"/>
    <col min="3845" max="3845" width="7.42578125" style="303" customWidth="1"/>
    <col min="3846" max="3846" width="7.5703125" style="303" customWidth="1"/>
    <col min="3847" max="3847" width="7" style="303" customWidth="1"/>
    <col min="3848" max="3852" width="8.140625" style="303" customWidth="1"/>
    <col min="3853" max="3853" width="10.85546875" style="303" customWidth="1"/>
    <col min="3854" max="4094" width="9.140625" style="303"/>
    <col min="4095" max="4095" width="4.140625" style="303" customWidth="1"/>
    <col min="4096" max="4096" width="25.5703125" style="303" customWidth="1"/>
    <col min="4097" max="4098" width="7.7109375" style="303" customWidth="1"/>
    <col min="4099" max="4099" width="8.140625" style="303" customWidth="1"/>
    <col min="4100" max="4100" width="7.5703125" style="303" customWidth="1"/>
    <col min="4101" max="4101" width="7.42578125" style="303" customWidth="1"/>
    <col min="4102" max="4102" width="7.5703125" style="303" customWidth="1"/>
    <col min="4103" max="4103" width="7" style="303" customWidth="1"/>
    <col min="4104" max="4108" width="8.140625" style="303" customWidth="1"/>
    <col min="4109" max="4109" width="10.85546875" style="303" customWidth="1"/>
    <col min="4110" max="4350" width="9.140625" style="303"/>
    <col min="4351" max="4351" width="4.140625" style="303" customWidth="1"/>
    <col min="4352" max="4352" width="25.5703125" style="303" customWidth="1"/>
    <col min="4353" max="4354" width="7.7109375" style="303" customWidth="1"/>
    <col min="4355" max="4355" width="8.140625" style="303" customWidth="1"/>
    <col min="4356" max="4356" width="7.5703125" style="303" customWidth="1"/>
    <col min="4357" max="4357" width="7.42578125" style="303" customWidth="1"/>
    <col min="4358" max="4358" width="7.5703125" style="303" customWidth="1"/>
    <col min="4359" max="4359" width="7" style="303" customWidth="1"/>
    <col min="4360" max="4364" width="8.140625" style="303" customWidth="1"/>
    <col min="4365" max="4365" width="10.85546875" style="303" customWidth="1"/>
    <col min="4366" max="4606" width="9.140625" style="303"/>
    <col min="4607" max="4607" width="4.140625" style="303" customWidth="1"/>
    <col min="4608" max="4608" width="25.5703125" style="303" customWidth="1"/>
    <col min="4609" max="4610" width="7.7109375" style="303" customWidth="1"/>
    <col min="4611" max="4611" width="8.140625" style="303" customWidth="1"/>
    <col min="4612" max="4612" width="7.5703125" style="303" customWidth="1"/>
    <col min="4613" max="4613" width="7.42578125" style="303" customWidth="1"/>
    <col min="4614" max="4614" width="7.5703125" style="303" customWidth="1"/>
    <col min="4615" max="4615" width="7" style="303" customWidth="1"/>
    <col min="4616" max="4620" width="8.140625" style="303" customWidth="1"/>
    <col min="4621" max="4621" width="10.85546875" style="303" customWidth="1"/>
    <col min="4622" max="4862" width="9.140625" style="303"/>
    <col min="4863" max="4863" width="4.140625" style="303" customWidth="1"/>
    <col min="4864" max="4864" width="25.5703125" style="303" customWidth="1"/>
    <col min="4865" max="4866" width="7.7109375" style="303" customWidth="1"/>
    <col min="4867" max="4867" width="8.140625" style="303" customWidth="1"/>
    <col min="4868" max="4868" width="7.5703125" style="303" customWidth="1"/>
    <col min="4869" max="4869" width="7.42578125" style="303" customWidth="1"/>
    <col min="4870" max="4870" width="7.5703125" style="303" customWidth="1"/>
    <col min="4871" max="4871" width="7" style="303" customWidth="1"/>
    <col min="4872" max="4876" width="8.140625" style="303" customWidth="1"/>
    <col min="4877" max="4877" width="10.85546875" style="303" customWidth="1"/>
    <col min="4878" max="5118" width="9.140625" style="303"/>
    <col min="5119" max="5119" width="4.140625" style="303" customWidth="1"/>
    <col min="5120" max="5120" width="25.5703125" style="303" customWidth="1"/>
    <col min="5121" max="5122" width="7.7109375" style="303" customWidth="1"/>
    <col min="5123" max="5123" width="8.140625" style="303" customWidth="1"/>
    <col min="5124" max="5124" width="7.5703125" style="303" customWidth="1"/>
    <col min="5125" max="5125" width="7.42578125" style="303" customWidth="1"/>
    <col min="5126" max="5126" width="7.5703125" style="303" customWidth="1"/>
    <col min="5127" max="5127" width="7" style="303" customWidth="1"/>
    <col min="5128" max="5132" width="8.140625" style="303" customWidth="1"/>
    <col min="5133" max="5133" width="10.85546875" style="303" customWidth="1"/>
    <col min="5134" max="5374" width="9.140625" style="303"/>
    <col min="5375" max="5375" width="4.140625" style="303" customWidth="1"/>
    <col min="5376" max="5376" width="25.5703125" style="303" customWidth="1"/>
    <col min="5377" max="5378" width="7.7109375" style="303" customWidth="1"/>
    <col min="5379" max="5379" width="8.140625" style="303" customWidth="1"/>
    <col min="5380" max="5380" width="7.5703125" style="303" customWidth="1"/>
    <col min="5381" max="5381" width="7.42578125" style="303" customWidth="1"/>
    <col min="5382" max="5382" width="7.5703125" style="303" customWidth="1"/>
    <col min="5383" max="5383" width="7" style="303" customWidth="1"/>
    <col min="5384" max="5388" width="8.140625" style="303" customWidth="1"/>
    <col min="5389" max="5389" width="10.85546875" style="303" customWidth="1"/>
    <col min="5390" max="5630" width="9.140625" style="303"/>
    <col min="5631" max="5631" width="4.140625" style="303" customWidth="1"/>
    <col min="5632" max="5632" width="25.5703125" style="303" customWidth="1"/>
    <col min="5633" max="5634" width="7.7109375" style="303" customWidth="1"/>
    <col min="5635" max="5635" width="8.140625" style="303" customWidth="1"/>
    <col min="5636" max="5636" width="7.5703125" style="303" customWidth="1"/>
    <col min="5637" max="5637" width="7.42578125" style="303" customWidth="1"/>
    <col min="5638" max="5638" width="7.5703125" style="303" customWidth="1"/>
    <col min="5639" max="5639" width="7" style="303" customWidth="1"/>
    <col min="5640" max="5644" width="8.140625" style="303" customWidth="1"/>
    <col min="5645" max="5645" width="10.85546875" style="303" customWidth="1"/>
    <col min="5646" max="5886" width="9.140625" style="303"/>
    <col min="5887" max="5887" width="4.140625" style="303" customWidth="1"/>
    <col min="5888" max="5888" width="25.5703125" style="303" customWidth="1"/>
    <col min="5889" max="5890" width="7.7109375" style="303" customWidth="1"/>
    <col min="5891" max="5891" width="8.140625" style="303" customWidth="1"/>
    <col min="5892" max="5892" width="7.5703125" style="303" customWidth="1"/>
    <col min="5893" max="5893" width="7.42578125" style="303" customWidth="1"/>
    <col min="5894" max="5894" width="7.5703125" style="303" customWidth="1"/>
    <col min="5895" max="5895" width="7" style="303" customWidth="1"/>
    <col min="5896" max="5900" width="8.140625" style="303" customWidth="1"/>
    <col min="5901" max="5901" width="10.85546875" style="303" customWidth="1"/>
    <col min="5902" max="6142" width="9.140625" style="303"/>
    <col min="6143" max="6143" width="4.140625" style="303" customWidth="1"/>
    <col min="6144" max="6144" width="25.5703125" style="303" customWidth="1"/>
    <col min="6145" max="6146" width="7.7109375" style="303" customWidth="1"/>
    <col min="6147" max="6147" width="8.140625" style="303" customWidth="1"/>
    <col min="6148" max="6148" width="7.5703125" style="303" customWidth="1"/>
    <col min="6149" max="6149" width="7.42578125" style="303" customWidth="1"/>
    <col min="6150" max="6150" width="7.5703125" style="303" customWidth="1"/>
    <col min="6151" max="6151" width="7" style="303" customWidth="1"/>
    <col min="6152" max="6156" width="8.140625" style="303" customWidth="1"/>
    <col min="6157" max="6157" width="10.85546875" style="303" customWidth="1"/>
    <col min="6158" max="6398" width="9.140625" style="303"/>
    <col min="6399" max="6399" width="4.140625" style="303" customWidth="1"/>
    <col min="6400" max="6400" width="25.5703125" style="303" customWidth="1"/>
    <col min="6401" max="6402" width="7.7109375" style="303" customWidth="1"/>
    <col min="6403" max="6403" width="8.140625" style="303" customWidth="1"/>
    <col min="6404" max="6404" width="7.5703125" style="303" customWidth="1"/>
    <col min="6405" max="6405" width="7.42578125" style="303" customWidth="1"/>
    <col min="6406" max="6406" width="7.5703125" style="303" customWidth="1"/>
    <col min="6407" max="6407" width="7" style="303" customWidth="1"/>
    <col min="6408" max="6412" width="8.140625" style="303" customWidth="1"/>
    <col min="6413" max="6413" width="10.85546875" style="303" customWidth="1"/>
    <col min="6414" max="6654" width="9.140625" style="303"/>
    <col min="6655" max="6655" width="4.140625" style="303" customWidth="1"/>
    <col min="6656" max="6656" width="25.5703125" style="303" customWidth="1"/>
    <col min="6657" max="6658" width="7.7109375" style="303" customWidth="1"/>
    <col min="6659" max="6659" width="8.140625" style="303" customWidth="1"/>
    <col min="6660" max="6660" width="7.5703125" style="303" customWidth="1"/>
    <col min="6661" max="6661" width="7.42578125" style="303" customWidth="1"/>
    <col min="6662" max="6662" width="7.5703125" style="303" customWidth="1"/>
    <col min="6663" max="6663" width="7" style="303" customWidth="1"/>
    <col min="6664" max="6668" width="8.140625" style="303" customWidth="1"/>
    <col min="6669" max="6669" width="10.85546875" style="303" customWidth="1"/>
    <col min="6670" max="6910" width="9.140625" style="303"/>
    <col min="6911" max="6911" width="4.140625" style="303" customWidth="1"/>
    <col min="6912" max="6912" width="25.5703125" style="303" customWidth="1"/>
    <col min="6913" max="6914" width="7.7109375" style="303" customWidth="1"/>
    <col min="6915" max="6915" width="8.140625" style="303" customWidth="1"/>
    <col min="6916" max="6916" width="7.5703125" style="303" customWidth="1"/>
    <col min="6917" max="6917" width="7.42578125" style="303" customWidth="1"/>
    <col min="6918" max="6918" width="7.5703125" style="303" customWidth="1"/>
    <col min="6919" max="6919" width="7" style="303" customWidth="1"/>
    <col min="6920" max="6924" width="8.140625" style="303" customWidth="1"/>
    <col min="6925" max="6925" width="10.85546875" style="303" customWidth="1"/>
    <col min="6926" max="7166" width="9.140625" style="303"/>
    <col min="7167" max="7167" width="4.140625" style="303" customWidth="1"/>
    <col min="7168" max="7168" width="25.5703125" style="303" customWidth="1"/>
    <col min="7169" max="7170" width="7.7109375" style="303" customWidth="1"/>
    <col min="7171" max="7171" width="8.140625" style="303" customWidth="1"/>
    <col min="7172" max="7172" width="7.5703125" style="303" customWidth="1"/>
    <col min="7173" max="7173" width="7.42578125" style="303" customWidth="1"/>
    <col min="7174" max="7174" width="7.5703125" style="303" customWidth="1"/>
    <col min="7175" max="7175" width="7" style="303" customWidth="1"/>
    <col min="7176" max="7180" width="8.140625" style="303" customWidth="1"/>
    <col min="7181" max="7181" width="10.85546875" style="303" customWidth="1"/>
    <col min="7182" max="7422" width="9.140625" style="303"/>
    <col min="7423" max="7423" width="4.140625" style="303" customWidth="1"/>
    <col min="7424" max="7424" width="25.5703125" style="303" customWidth="1"/>
    <col min="7425" max="7426" width="7.7109375" style="303" customWidth="1"/>
    <col min="7427" max="7427" width="8.140625" style="303" customWidth="1"/>
    <col min="7428" max="7428" width="7.5703125" style="303" customWidth="1"/>
    <col min="7429" max="7429" width="7.42578125" style="303" customWidth="1"/>
    <col min="7430" max="7430" width="7.5703125" style="303" customWidth="1"/>
    <col min="7431" max="7431" width="7" style="303" customWidth="1"/>
    <col min="7432" max="7436" width="8.140625" style="303" customWidth="1"/>
    <col min="7437" max="7437" width="10.85546875" style="303" customWidth="1"/>
    <col min="7438" max="7678" width="9.140625" style="303"/>
    <col min="7679" max="7679" width="4.140625" style="303" customWidth="1"/>
    <col min="7680" max="7680" width="25.5703125" style="303" customWidth="1"/>
    <col min="7681" max="7682" width="7.7109375" style="303" customWidth="1"/>
    <col min="7683" max="7683" width="8.140625" style="303" customWidth="1"/>
    <col min="7684" max="7684" width="7.5703125" style="303" customWidth="1"/>
    <col min="7685" max="7685" width="7.42578125" style="303" customWidth="1"/>
    <col min="7686" max="7686" width="7.5703125" style="303" customWidth="1"/>
    <col min="7687" max="7687" width="7" style="303" customWidth="1"/>
    <col min="7688" max="7692" width="8.140625" style="303" customWidth="1"/>
    <col min="7693" max="7693" width="10.85546875" style="303" customWidth="1"/>
    <col min="7694" max="7934" width="9.140625" style="303"/>
    <col min="7935" max="7935" width="4.140625" style="303" customWidth="1"/>
    <col min="7936" max="7936" width="25.5703125" style="303" customWidth="1"/>
    <col min="7937" max="7938" width="7.7109375" style="303" customWidth="1"/>
    <col min="7939" max="7939" width="8.140625" style="303" customWidth="1"/>
    <col min="7940" max="7940" width="7.5703125" style="303" customWidth="1"/>
    <col min="7941" max="7941" width="7.42578125" style="303" customWidth="1"/>
    <col min="7942" max="7942" width="7.5703125" style="303" customWidth="1"/>
    <col min="7943" max="7943" width="7" style="303" customWidth="1"/>
    <col min="7944" max="7948" width="8.140625" style="303" customWidth="1"/>
    <col min="7949" max="7949" width="10.85546875" style="303" customWidth="1"/>
    <col min="7950" max="8190" width="9.140625" style="303"/>
    <col min="8191" max="8191" width="4.140625" style="303" customWidth="1"/>
    <col min="8192" max="8192" width="25.5703125" style="303" customWidth="1"/>
    <col min="8193" max="8194" width="7.7109375" style="303" customWidth="1"/>
    <col min="8195" max="8195" width="8.140625" style="303" customWidth="1"/>
    <col min="8196" max="8196" width="7.5703125" style="303" customWidth="1"/>
    <col min="8197" max="8197" width="7.42578125" style="303" customWidth="1"/>
    <col min="8198" max="8198" width="7.5703125" style="303" customWidth="1"/>
    <col min="8199" max="8199" width="7" style="303" customWidth="1"/>
    <col min="8200" max="8204" width="8.140625" style="303" customWidth="1"/>
    <col min="8205" max="8205" width="10.85546875" style="303" customWidth="1"/>
    <col min="8206" max="8446" width="9.140625" style="303"/>
    <col min="8447" max="8447" width="4.140625" style="303" customWidth="1"/>
    <col min="8448" max="8448" width="25.5703125" style="303" customWidth="1"/>
    <col min="8449" max="8450" width="7.7109375" style="303" customWidth="1"/>
    <col min="8451" max="8451" width="8.140625" style="303" customWidth="1"/>
    <col min="8452" max="8452" width="7.5703125" style="303" customWidth="1"/>
    <col min="8453" max="8453" width="7.42578125" style="303" customWidth="1"/>
    <col min="8454" max="8454" width="7.5703125" style="303" customWidth="1"/>
    <col min="8455" max="8455" width="7" style="303" customWidth="1"/>
    <col min="8456" max="8460" width="8.140625" style="303" customWidth="1"/>
    <col min="8461" max="8461" width="10.85546875" style="303" customWidth="1"/>
    <col min="8462" max="8702" width="9.140625" style="303"/>
    <col min="8703" max="8703" width="4.140625" style="303" customWidth="1"/>
    <col min="8704" max="8704" width="25.5703125" style="303" customWidth="1"/>
    <col min="8705" max="8706" width="7.7109375" style="303" customWidth="1"/>
    <col min="8707" max="8707" width="8.140625" style="303" customWidth="1"/>
    <col min="8708" max="8708" width="7.5703125" style="303" customWidth="1"/>
    <col min="8709" max="8709" width="7.42578125" style="303" customWidth="1"/>
    <col min="8710" max="8710" width="7.5703125" style="303" customWidth="1"/>
    <col min="8711" max="8711" width="7" style="303" customWidth="1"/>
    <col min="8712" max="8716" width="8.140625" style="303" customWidth="1"/>
    <col min="8717" max="8717" width="10.85546875" style="303" customWidth="1"/>
    <col min="8718" max="8958" width="9.140625" style="303"/>
    <col min="8959" max="8959" width="4.140625" style="303" customWidth="1"/>
    <col min="8960" max="8960" width="25.5703125" style="303" customWidth="1"/>
    <col min="8961" max="8962" width="7.7109375" style="303" customWidth="1"/>
    <col min="8963" max="8963" width="8.140625" style="303" customWidth="1"/>
    <col min="8964" max="8964" width="7.5703125" style="303" customWidth="1"/>
    <col min="8965" max="8965" width="7.42578125" style="303" customWidth="1"/>
    <col min="8966" max="8966" width="7.5703125" style="303" customWidth="1"/>
    <col min="8967" max="8967" width="7" style="303" customWidth="1"/>
    <col min="8968" max="8972" width="8.140625" style="303" customWidth="1"/>
    <col min="8973" max="8973" width="10.85546875" style="303" customWidth="1"/>
    <col min="8974" max="9214" width="9.140625" style="303"/>
    <col min="9215" max="9215" width="4.140625" style="303" customWidth="1"/>
    <col min="9216" max="9216" width="25.5703125" style="303" customWidth="1"/>
    <col min="9217" max="9218" width="7.7109375" style="303" customWidth="1"/>
    <col min="9219" max="9219" width="8.140625" style="303" customWidth="1"/>
    <col min="9220" max="9220" width="7.5703125" style="303" customWidth="1"/>
    <col min="9221" max="9221" width="7.42578125" style="303" customWidth="1"/>
    <col min="9222" max="9222" width="7.5703125" style="303" customWidth="1"/>
    <col min="9223" max="9223" width="7" style="303" customWidth="1"/>
    <col min="9224" max="9228" width="8.140625" style="303" customWidth="1"/>
    <col min="9229" max="9229" width="10.85546875" style="303" customWidth="1"/>
    <col min="9230" max="9470" width="9.140625" style="303"/>
    <col min="9471" max="9471" width="4.140625" style="303" customWidth="1"/>
    <col min="9472" max="9472" width="25.5703125" style="303" customWidth="1"/>
    <col min="9473" max="9474" width="7.7109375" style="303" customWidth="1"/>
    <col min="9475" max="9475" width="8.140625" style="303" customWidth="1"/>
    <col min="9476" max="9476" width="7.5703125" style="303" customWidth="1"/>
    <col min="9477" max="9477" width="7.42578125" style="303" customWidth="1"/>
    <col min="9478" max="9478" width="7.5703125" style="303" customWidth="1"/>
    <col min="9479" max="9479" width="7" style="303" customWidth="1"/>
    <col min="9480" max="9484" width="8.140625" style="303" customWidth="1"/>
    <col min="9485" max="9485" width="10.85546875" style="303" customWidth="1"/>
    <col min="9486" max="9726" width="9.140625" style="303"/>
    <col min="9727" max="9727" width="4.140625" style="303" customWidth="1"/>
    <col min="9728" max="9728" width="25.5703125" style="303" customWidth="1"/>
    <col min="9729" max="9730" width="7.7109375" style="303" customWidth="1"/>
    <col min="9731" max="9731" width="8.140625" style="303" customWidth="1"/>
    <col min="9732" max="9732" width="7.5703125" style="303" customWidth="1"/>
    <col min="9733" max="9733" width="7.42578125" style="303" customWidth="1"/>
    <col min="9734" max="9734" width="7.5703125" style="303" customWidth="1"/>
    <col min="9735" max="9735" width="7" style="303" customWidth="1"/>
    <col min="9736" max="9740" width="8.140625" style="303" customWidth="1"/>
    <col min="9741" max="9741" width="10.85546875" style="303" customWidth="1"/>
    <col min="9742" max="9982" width="9.140625" style="303"/>
    <col min="9983" max="9983" width="4.140625" style="303" customWidth="1"/>
    <col min="9984" max="9984" width="25.5703125" style="303" customWidth="1"/>
    <col min="9985" max="9986" width="7.7109375" style="303" customWidth="1"/>
    <col min="9987" max="9987" width="8.140625" style="303" customWidth="1"/>
    <col min="9988" max="9988" width="7.5703125" style="303" customWidth="1"/>
    <col min="9989" max="9989" width="7.42578125" style="303" customWidth="1"/>
    <col min="9990" max="9990" width="7.5703125" style="303" customWidth="1"/>
    <col min="9991" max="9991" width="7" style="303" customWidth="1"/>
    <col min="9992" max="9996" width="8.140625" style="303" customWidth="1"/>
    <col min="9997" max="9997" width="10.85546875" style="303" customWidth="1"/>
    <col min="9998" max="10238" width="9.140625" style="303"/>
    <col min="10239" max="10239" width="4.140625" style="303" customWidth="1"/>
    <col min="10240" max="10240" width="25.5703125" style="303" customWidth="1"/>
    <col min="10241" max="10242" width="7.7109375" style="303" customWidth="1"/>
    <col min="10243" max="10243" width="8.140625" style="303" customWidth="1"/>
    <col min="10244" max="10244" width="7.5703125" style="303" customWidth="1"/>
    <col min="10245" max="10245" width="7.42578125" style="303" customWidth="1"/>
    <col min="10246" max="10246" width="7.5703125" style="303" customWidth="1"/>
    <col min="10247" max="10247" width="7" style="303" customWidth="1"/>
    <col min="10248" max="10252" width="8.140625" style="303" customWidth="1"/>
    <col min="10253" max="10253" width="10.85546875" style="303" customWidth="1"/>
    <col min="10254" max="10494" width="9.140625" style="303"/>
    <col min="10495" max="10495" width="4.140625" style="303" customWidth="1"/>
    <col min="10496" max="10496" width="25.5703125" style="303" customWidth="1"/>
    <col min="10497" max="10498" width="7.7109375" style="303" customWidth="1"/>
    <col min="10499" max="10499" width="8.140625" style="303" customWidth="1"/>
    <col min="10500" max="10500" width="7.5703125" style="303" customWidth="1"/>
    <col min="10501" max="10501" width="7.42578125" style="303" customWidth="1"/>
    <col min="10502" max="10502" width="7.5703125" style="303" customWidth="1"/>
    <col min="10503" max="10503" width="7" style="303" customWidth="1"/>
    <col min="10504" max="10508" width="8.140625" style="303" customWidth="1"/>
    <col min="10509" max="10509" width="10.85546875" style="303" customWidth="1"/>
    <col min="10510" max="10750" width="9.140625" style="303"/>
    <col min="10751" max="10751" width="4.140625" style="303" customWidth="1"/>
    <col min="10752" max="10752" width="25.5703125" style="303" customWidth="1"/>
    <col min="10753" max="10754" width="7.7109375" style="303" customWidth="1"/>
    <col min="10755" max="10755" width="8.140625" style="303" customWidth="1"/>
    <col min="10756" max="10756" width="7.5703125" style="303" customWidth="1"/>
    <col min="10757" max="10757" width="7.42578125" style="303" customWidth="1"/>
    <col min="10758" max="10758" width="7.5703125" style="303" customWidth="1"/>
    <col min="10759" max="10759" width="7" style="303" customWidth="1"/>
    <col min="10760" max="10764" width="8.140625" style="303" customWidth="1"/>
    <col min="10765" max="10765" width="10.85546875" style="303" customWidth="1"/>
    <col min="10766" max="11006" width="9.140625" style="303"/>
    <col min="11007" max="11007" width="4.140625" style="303" customWidth="1"/>
    <col min="11008" max="11008" width="25.5703125" style="303" customWidth="1"/>
    <col min="11009" max="11010" width="7.7109375" style="303" customWidth="1"/>
    <col min="11011" max="11011" width="8.140625" style="303" customWidth="1"/>
    <col min="11012" max="11012" width="7.5703125" style="303" customWidth="1"/>
    <col min="11013" max="11013" width="7.42578125" style="303" customWidth="1"/>
    <col min="11014" max="11014" width="7.5703125" style="303" customWidth="1"/>
    <col min="11015" max="11015" width="7" style="303" customWidth="1"/>
    <col min="11016" max="11020" width="8.140625" style="303" customWidth="1"/>
    <col min="11021" max="11021" width="10.85546875" style="303" customWidth="1"/>
    <col min="11022" max="11262" width="9.140625" style="303"/>
    <col min="11263" max="11263" width="4.140625" style="303" customWidth="1"/>
    <col min="11264" max="11264" width="25.5703125" style="303" customWidth="1"/>
    <col min="11265" max="11266" width="7.7109375" style="303" customWidth="1"/>
    <col min="11267" max="11267" width="8.140625" style="303" customWidth="1"/>
    <col min="11268" max="11268" width="7.5703125" style="303" customWidth="1"/>
    <col min="11269" max="11269" width="7.42578125" style="303" customWidth="1"/>
    <col min="11270" max="11270" width="7.5703125" style="303" customWidth="1"/>
    <col min="11271" max="11271" width="7" style="303" customWidth="1"/>
    <col min="11272" max="11276" width="8.140625" style="303" customWidth="1"/>
    <col min="11277" max="11277" width="10.85546875" style="303" customWidth="1"/>
    <col min="11278" max="11518" width="9.140625" style="303"/>
    <col min="11519" max="11519" width="4.140625" style="303" customWidth="1"/>
    <col min="11520" max="11520" width="25.5703125" style="303" customWidth="1"/>
    <col min="11521" max="11522" width="7.7109375" style="303" customWidth="1"/>
    <col min="11523" max="11523" width="8.140625" style="303" customWidth="1"/>
    <col min="11524" max="11524" width="7.5703125" style="303" customWidth="1"/>
    <col min="11525" max="11525" width="7.42578125" style="303" customWidth="1"/>
    <col min="11526" max="11526" width="7.5703125" style="303" customWidth="1"/>
    <col min="11527" max="11527" width="7" style="303" customWidth="1"/>
    <col min="11528" max="11532" width="8.140625" style="303" customWidth="1"/>
    <col min="11533" max="11533" width="10.85546875" style="303" customWidth="1"/>
    <col min="11534" max="11774" width="9.140625" style="303"/>
    <col min="11775" max="11775" width="4.140625" style="303" customWidth="1"/>
    <col min="11776" max="11776" width="25.5703125" style="303" customWidth="1"/>
    <col min="11777" max="11778" width="7.7109375" style="303" customWidth="1"/>
    <col min="11779" max="11779" width="8.140625" style="303" customWidth="1"/>
    <col min="11780" max="11780" width="7.5703125" style="303" customWidth="1"/>
    <col min="11781" max="11781" width="7.42578125" style="303" customWidth="1"/>
    <col min="11782" max="11782" width="7.5703125" style="303" customWidth="1"/>
    <col min="11783" max="11783" width="7" style="303" customWidth="1"/>
    <col min="11784" max="11788" width="8.140625" style="303" customWidth="1"/>
    <col min="11789" max="11789" width="10.85546875" style="303" customWidth="1"/>
    <col min="11790" max="12030" width="9.140625" style="303"/>
    <col min="12031" max="12031" width="4.140625" style="303" customWidth="1"/>
    <col min="12032" max="12032" width="25.5703125" style="303" customWidth="1"/>
    <col min="12033" max="12034" width="7.7109375" style="303" customWidth="1"/>
    <col min="12035" max="12035" width="8.140625" style="303" customWidth="1"/>
    <col min="12036" max="12036" width="7.5703125" style="303" customWidth="1"/>
    <col min="12037" max="12037" width="7.42578125" style="303" customWidth="1"/>
    <col min="12038" max="12038" width="7.5703125" style="303" customWidth="1"/>
    <col min="12039" max="12039" width="7" style="303" customWidth="1"/>
    <col min="12040" max="12044" width="8.140625" style="303" customWidth="1"/>
    <col min="12045" max="12045" width="10.85546875" style="303" customWidth="1"/>
    <col min="12046" max="12286" width="9.140625" style="303"/>
    <col min="12287" max="12287" width="4.140625" style="303" customWidth="1"/>
    <col min="12288" max="12288" width="25.5703125" style="303" customWidth="1"/>
    <col min="12289" max="12290" width="7.7109375" style="303" customWidth="1"/>
    <col min="12291" max="12291" width="8.140625" style="303" customWidth="1"/>
    <col min="12292" max="12292" width="7.5703125" style="303" customWidth="1"/>
    <col min="12293" max="12293" width="7.42578125" style="303" customWidth="1"/>
    <col min="12294" max="12294" width="7.5703125" style="303" customWidth="1"/>
    <col min="12295" max="12295" width="7" style="303" customWidth="1"/>
    <col min="12296" max="12300" width="8.140625" style="303" customWidth="1"/>
    <col min="12301" max="12301" width="10.85546875" style="303" customWidth="1"/>
    <col min="12302" max="12542" width="9.140625" style="303"/>
    <col min="12543" max="12543" width="4.140625" style="303" customWidth="1"/>
    <col min="12544" max="12544" width="25.5703125" style="303" customWidth="1"/>
    <col min="12545" max="12546" width="7.7109375" style="303" customWidth="1"/>
    <col min="12547" max="12547" width="8.140625" style="303" customWidth="1"/>
    <col min="12548" max="12548" width="7.5703125" style="303" customWidth="1"/>
    <col min="12549" max="12549" width="7.42578125" style="303" customWidth="1"/>
    <col min="12550" max="12550" width="7.5703125" style="303" customWidth="1"/>
    <col min="12551" max="12551" width="7" style="303" customWidth="1"/>
    <col min="12552" max="12556" width="8.140625" style="303" customWidth="1"/>
    <col min="12557" max="12557" width="10.85546875" style="303" customWidth="1"/>
    <col min="12558" max="12798" width="9.140625" style="303"/>
    <col min="12799" max="12799" width="4.140625" style="303" customWidth="1"/>
    <col min="12800" max="12800" width="25.5703125" style="303" customWidth="1"/>
    <col min="12801" max="12802" width="7.7109375" style="303" customWidth="1"/>
    <col min="12803" max="12803" width="8.140625" style="303" customWidth="1"/>
    <col min="12804" max="12804" width="7.5703125" style="303" customWidth="1"/>
    <col min="12805" max="12805" width="7.42578125" style="303" customWidth="1"/>
    <col min="12806" max="12806" width="7.5703125" style="303" customWidth="1"/>
    <col min="12807" max="12807" width="7" style="303" customWidth="1"/>
    <col min="12808" max="12812" width="8.140625" style="303" customWidth="1"/>
    <col min="12813" max="12813" width="10.85546875" style="303" customWidth="1"/>
    <col min="12814" max="13054" width="9.140625" style="303"/>
    <col min="13055" max="13055" width="4.140625" style="303" customWidth="1"/>
    <col min="13056" max="13056" width="25.5703125" style="303" customWidth="1"/>
    <col min="13057" max="13058" width="7.7109375" style="303" customWidth="1"/>
    <col min="13059" max="13059" width="8.140625" style="303" customWidth="1"/>
    <col min="13060" max="13060" width="7.5703125" style="303" customWidth="1"/>
    <col min="13061" max="13061" width="7.42578125" style="303" customWidth="1"/>
    <col min="13062" max="13062" width="7.5703125" style="303" customWidth="1"/>
    <col min="13063" max="13063" width="7" style="303" customWidth="1"/>
    <col min="13064" max="13068" width="8.140625" style="303" customWidth="1"/>
    <col min="13069" max="13069" width="10.85546875" style="303" customWidth="1"/>
    <col min="13070" max="13310" width="9.140625" style="303"/>
    <col min="13311" max="13311" width="4.140625" style="303" customWidth="1"/>
    <col min="13312" max="13312" width="25.5703125" style="303" customWidth="1"/>
    <col min="13313" max="13314" width="7.7109375" style="303" customWidth="1"/>
    <col min="13315" max="13315" width="8.140625" style="303" customWidth="1"/>
    <col min="13316" max="13316" width="7.5703125" style="303" customWidth="1"/>
    <col min="13317" max="13317" width="7.42578125" style="303" customWidth="1"/>
    <col min="13318" max="13318" width="7.5703125" style="303" customWidth="1"/>
    <col min="13319" max="13319" width="7" style="303" customWidth="1"/>
    <col min="13320" max="13324" width="8.140625" style="303" customWidth="1"/>
    <col min="13325" max="13325" width="10.85546875" style="303" customWidth="1"/>
    <col min="13326" max="13566" width="9.140625" style="303"/>
    <col min="13567" max="13567" width="4.140625" style="303" customWidth="1"/>
    <col min="13568" max="13568" width="25.5703125" style="303" customWidth="1"/>
    <col min="13569" max="13570" width="7.7109375" style="303" customWidth="1"/>
    <col min="13571" max="13571" width="8.140625" style="303" customWidth="1"/>
    <col min="13572" max="13572" width="7.5703125" style="303" customWidth="1"/>
    <col min="13573" max="13573" width="7.42578125" style="303" customWidth="1"/>
    <col min="13574" max="13574" width="7.5703125" style="303" customWidth="1"/>
    <col min="13575" max="13575" width="7" style="303" customWidth="1"/>
    <col min="13576" max="13580" width="8.140625" style="303" customWidth="1"/>
    <col min="13581" max="13581" width="10.85546875" style="303" customWidth="1"/>
    <col min="13582" max="13822" width="9.140625" style="303"/>
    <col min="13823" max="13823" width="4.140625" style="303" customWidth="1"/>
    <col min="13824" max="13824" width="25.5703125" style="303" customWidth="1"/>
    <col min="13825" max="13826" width="7.7109375" style="303" customWidth="1"/>
    <col min="13827" max="13827" width="8.140625" style="303" customWidth="1"/>
    <col min="13828" max="13828" width="7.5703125" style="303" customWidth="1"/>
    <col min="13829" max="13829" width="7.42578125" style="303" customWidth="1"/>
    <col min="13830" max="13830" width="7.5703125" style="303" customWidth="1"/>
    <col min="13831" max="13831" width="7" style="303" customWidth="1"/>
    <col min="13832" max="13836" width="8.140625" style="303" customWidth="1"/>
    <col min="13837" max="13837" width="10.85546875" style="303" customWidth="1"/>
    <col min="13838" max="14078" width="9.140625" style="303"/>
    <col min="14079" max="14079" width="4.140625" style="303" customWidth="1"/>
    <col min="14080" max="14080" width="25.5703125" style="303" customWidth="1"/>
    <col min="14081" max="14082" width="7.7109375" style="303" customWidth="1"/>
    <col min="14083" max="14083" width="8.140625" style="303" customWidth="1"/>
    <col min="14084" max="14084" width="7.5703125" style="303" customWidth="1"/>
    <col min="14085" max="14085" width="7.42578125" style="303" customWidth="1"/>
    <col min="14086" max="14086" width="7.5703125" style="303" customWidth="1"/>
    <col min="14087" max="14087" width="7" style="303" customWidth="1"/>
    <col min="14088" max="14092" width="8.140625" style="303" customWidth="1"/>
    <col min="14093" max="14093" width="10.85546875" style="303" customWidth="1"/>
    <col min="14094" max="14334" width="9.140625" style="303"/>
    <col min="14335" max="14335" width="4.140625" style="303" customWidth="1"/>
    <col min="14336" max="14336" width="25.5703125" style="303" customWidth="1"/>
    <col min="14337" max="14338" width="7.7109375" style="303" customWidth="1"/>
    <col min="14339" max="14339" width="8.140625" style="303" customWidth="1"/>
    <col min="14340" max="14340" width="7.5703125" style="303" customWidth="1"/>
    <col min="14341" max="14341" width="7.42578125" style="303" customWidth="1"/>
    <col min="14342" max="14342" width="7.5703125" style="303" customWidth="1"/>
    <col min="14343" max="14343" width="7" style="303" customWidth="1"/>
    <col min="14344" max="14348" width="8.140625" style="303" customWidth="1"/>
    <col min="14349" max="14349" width="10.85546875" style="303" customWidth="1"/>
    <col min="14350" max="14590" width="9.140625" style="303"/>
    <col min="14591" max="14591" width="4.140625" style="303" customWidth="1"/>
    <col min="14592" max="14592" width="25.5703125" style="303" customWidth="1"/>
    <col min="14593" max="14594" width="7.7109375" style="303" customWidth="1"/>
    <col min="14595" max="14595" width="8.140625" style="303" customWidth="1"/>
    <col min="14596" max="14596" width="7.5703125" style="303" customWidth="1"/>
    <col min="14597" max="14597" width="7.42578125" style="303" customWidth="1"/>
    <col min="14598" max="14598" width="7.5703125" style="303" customWidth="1"/>
    <col min="14599" max="14599" width="7" style="303" customWidth="1"/>
    <col min="14600" max="14604" width="8.140625" style="303" customWidth="1"/>
    <col min="14605" max="14605" width="10.85546875" style="303" customWidth="1"/>
    <col min="14606" max="14846" width="9.140625" style="303"/>
    <col min="14847" max="14847" width="4.140625" style="303" customWidth="1"/>
    <col min="14848" max="14848" width="25.5703125" style="303" customWidth="1"/>
    <col min="14849" max="14850" width="7.7109375" style="303" customWidth="1"/>
    <col min="14851" max="14851" width="8.140625" style="303" customWidth="1"/>
    <col min="14852" max="14852" width="7.5703125" style="303" customWidth="1"/>
    <col min="14853" max="14853" width="7.42578125" style="303" customWidth="1"/>
    <col min="14854" max="14854" width="7.5703125" style="303" customWidth="1"/>
    <col min="14855" max="14855" width="7" style="303" customWidth="1"/>
    <col min="14856" max="14860" width="8.140625" style="303" customWidth="1"/>
    <col min="14861" max="14861" width="10.85546875" style="303" customWidth="1"/>
    <col min="14862" max="15102" width="9.140625" style="303"/>
    <col min="15103" max="15103" width="4.140625" style="303" customWidth="1"/>
    <col min="15104" max="15104" width="25.5703125" style="303" customWidth="1"/>
    <col min="15105" max="15106" width="7.7109375" style="303" customWidth="1"/>
    <col min="15107" max="15107" width="8.140625" style="303" customWidth="1"/>
    <col min="15108" max="15108" width="7.5703125" style="303" customWidth="1"/>
    <col min="15109" max="15109" width="7.42578125" style="303" customWidth="1"/>
    <col min="15110" max="15110" width="7.5703125" style="303" customWidth="1"/>
    <col min="15111" max="15111" width="7" style="303" customWidth="1"/>
    <col min="15112" max="15116" width="8.140625" style="303" customWidth="1"/>
    <col min="15117" max="15117" width="10.85546875" style="303" customWidth="1"/>
    <col min="15118" max="15358" width="9.140625" style="303"/>
    <col min="15359" max="15359" width="4.140625" style="303" customWidth="1"/>
    <col min="15360" max="15360" width="25.5703125" style="303" customWidth="1"/>
    <col min="15361" max="15362" width="7.7109375" style="303" customWidth="1"/>
    <col min="15363" max="15363" width="8.140625" style="303" customWidth="1"/>
    <col min="15364" max="15364" width="7.5703125" style="303" customWidth="1"/>
    <col min="15365" max="15365" width="7.42578125" style="303" customWidth="1"/>
    <col min="15366" max="15366" width="7.5703125" style="303" customWidth="1"/>
    <col min="15367" max="15367" width="7" style="303" customWidth="1"/>
    <col min="15368" max="15372" width="8.140625" style="303" customWidth="1"/>
    <col min="15373" max="15373" width="10.85546875" style="303" customWidth="1"/>
    <col min="15374" max="15614" width="9.140625" style="303"/>
    <col min="15615" max="15615" width="4.140625" style="303" customWidth="1"/>
    <col min="15616" max="15616" width="25.5703125" style="303" customWidth="1"/>
    <col min="15617" max="15618" width="7.7109375" style="303" customWidth="1"/>
    <col min="15619" max="15619" width="8.140625" style="303" customWidth="1"/>
    <col min="15620" max="15620" width="7.5703125" style="303" customWidth="1"/>
    <col min="15621" max="15621" width="7.42578125" style="303" customWidth="1"/>
    <col min="15622" max="15622" width="7.5703125" style="303" customWidth="1"/>
    <col min="15623" max="15623" width="7" style="303" customWidth="1"/>
    <col min="15624" max="15628" width="8.140625" style="303" customWidth="1"/>
    <col min="15629" max="15629" width="10.85546875" style="303" customWidth="1"/>
    <col min="15630" max="15870" width="9.140625" style="303"/>
    <col min="15871" max="15871" width="4.140625" style="303" customWidth="1"/>
    <col min="15872" max="15872" width="25.5703125" style="303" customWidth="1"/>
    <col min="15873" max="15874" width="7.7109375" style="303" customWidth="1"/>
    <col min="15875" max="15875" width="8.140625" style="303" customWidth="1"/>
    <col min="15876" max="15876" width="7.5703125" style="303" customWidth="1"/>
    <col min="15877" max="15877" width="7.42578125" style="303" customWidth="1"/>
    <col min="15878" max="15878" width="7.5703125" style="303" customWidth="1"/>
    <col min="15879" max="15879" width="7" style="303" customWidth="1"/>
    <col min="15880" max="15884" width="8.140625" style="303" customWidth="1"/>
    <col min="15885" max="15885" width="10.85546875" style="303" customWidth="1"/>
    <col min="15886" max="16126" width="9.140625" style="303"/>
    <col min="16127" max="16127" width="4.140625" style="303" customWidth="1"/>
    <col min="16128" max="16128" width="25.5703125" style="303" customWidth="1"/>
    <col min="16129" max="16130" width="7.7109375" style="303" customWidth="1"/>
    <col min="16131" max="16131" width="8.140625" style="303" customWidth="1"/>
    <col min="16132" max="16132" width="7.5703125" style="303" customWidth="1"/>
    <col min="16133" max="16133" width="7.42578125" style="303" customWidth="1"/>
    <col min="16134" max="16134" width="7.5703125" style="303" customWidth="1"/>
    <col min="16135" max="16135" width="7" style="303" customWidth="1"/>
    <col min="16136" max="16140" width="8.140625" style="303" customWidth="1"/>
    <col min="16141" max="16141" width="10.85546875" style="303" customWidth="1"/>
    <col min="16142" max="16384" width="9.140625" style="303"/>
  </cols>
  <sheetData>
    <row r="1" spans="1:15" ht="31.5" customHeight="1">
      <c r="A1" s="1984" t="s">
        <v>506</v>
      </c>
      <c r="B1" s="1985"/>
      <c r="C1" s="1985"/>
      <c r="D1" s="1985"/>
      <c r="E1" s="1985"/>
      <c r="F1" s="1985"/>
      <c r="G1" s="1985"/>
      <c r="H1" s="1985"/>
      <c r="I1" s="1985"/>
      <c r="J1" s="1985"/>
      <c r="K1" s="1985"/>
      <c r="L1" s="1985"/>
      <c r="M1" s="1985"/>
      <c r="N1" s="1985"/>
      <c r="O1" s="1985"/>
    </row>
    <row r="2" spans="1:15" ht="12.6" customHeight="1" thickBot="1">
      <c r="O2" s="306" t="s">
        <v>507</v>
      </c>
    </row>
    <row r="3" spans="1:15" s="296" customFormat="1" ht="30" customHeight="1" thickBot="1">
      <c r="A3" s="293" t="s">
        <v>216</v>
      </c>
      <c r="B3" s="294" t="s">
        <v>110</v>
      </c>
      <c r="C3" s="294" t="s">
        <v>200</v>
      </c>
      <c r="D3" s="294" t="s">
        <v>201</v>
      </c>
      <c r="E3" s="294" t="s">
        <v>202</v>
      </c>
      <c r="F3" s="294" t="s">
        <v>203</v>
      </c>
      <c r="G3" s="294" t="s">
        <v>204</v>
      </c>
      <c r="H3" s="294" t="s">
        <v>205</v>
      </c>
      <c r="I3" s="294" t="s">
        <v>206</v>
      </c>
      <c r="J3" s="294" t="s">
        <v>494</v>
      </c>
      <c r="K3" s="294" t="s">
        <v>495</v>
      </c>
      <c r="L3" s="294" t="s">
        <v>496</v>
      </c>
      <c r="M3" s="294" t="s">
        <v>497</v>
      </c>
      <c r="N3" s="294" t="s">
        <v>498</v>
      </c>
      <c r="O3" s="295" t="s">
        <v>499</v>
      </c>
    </row>
    <row r="4" spans="1:15" s="296" customFormat="1" ht="24.6" customHeight="1" thickBot="1">
      <c r="A4" s="307"/>
      <c r="B4" s="1986" t="s">
        <v>43</v>
      </c>
      <c r="C4" s="1987"/>
      <c r="D4" s="1987"/>
      <c r="E4" s="1987"/>
      <c r="F4" s="1987"/>
      <c r="G4" s="1987"/>
      <c r="H4" s="1987"/>
      <c r="I4" s="1987"/>
      <c r="J4" s="1987"/>
      <c r="K4" s="1987"/>
      <c r="L4" s="1987"/>
      <c r="M4" s="1987"/>
      <c r="N4" s="1987"/>
      <c r="O4" s="1988"/>
    </row>
    <row r="5" spans="1:15" s="296" customFormat="1" ht="22.15" customHeight="1">
      <c r="A5" s="308" t="s">
        <v>60</v>
      </c>
      <c r="B5" s="309" t="s">
        <v>500</v>
      </c>
      <c r="C5" s="297">
        <v>917766</v>
      </c>
      <c r="D5" s="298">
        <f>+C26</f>
        <v>885879</v>
      </c>
      <c r="E5" s="298">
        <f>+D26</f>
        <v>1228822</v>
      </c>
      <c r="F5" s="298">
        <f t="shared" ref="F5:N5" si="0">+E26</f>
        <v>1610995</v>
      </c>
      <c r="G5" s="298">
        <f t="shared" si="0"/>
        <v>1556468</v>
      </c>
      <c r="H5" s="298">
        <f t="shared" si="0"/>
        <v>1428291</v>
      </c>
      <c r="I5" s="298">
        <f t="shared" si="0"/>
        <v>1317631</v>
      </c>
      <c r="J5" s="298">
        <f t="shared" si="0"/>
        <v>923597</v>
      </c>
      <c r="K5" s="298">
        <f t="shared" si="0"/>
        <v>1286560</v>
      </c>
      <c r="L5" s="298">
        <f t="shared" si="0"/>
        <v>1213241</v>
      </c>
      <c r="M5" s="298">
        <f t="shared" si="0"/>
        <v>870964</v>
      </c>
      <c r="N5" s="298">
        <f t="shared" si="0"/>
        <v>144452</v>
      </c>
      <c r="O5" s="299" t="s">
        <v>501</v>
      </c>
    </row>
    <row r="6" spans="1:15" s="296" customFormat="1" ht="28.9" customHeight="1">
      <c r="A6" s="310" t="s">
        <v>61</v>
      </c>
      <c r="B6" s="300" t="s">
        <v>366</v>
      </c>
      <c r="C6" s="301">
        <v>102000</v>
      </c>
      <c r="D6" s="301">
        <v>102000</v>
      </c>
      <c r="E6" s="301">
        <v>204000</v>
      </c>
      <c r="F6" s="301">
        <v>102000</v>
      </c>
      <c r="G6" s="301">
        <v>102000</v>
      </c>
      <c r="H6" s="301">
        <v>102000</v>
      </c>
      <c r="I6" s="301">
        <v>102000</v>
      </c>
      <c r="J6" s="301">
        <v>102000</v>
      </c>
      <c r="K6" s="301">
        <v>204000</v>
      </c>
      <c r="L6" s="301">
        <v>102000</v>
      </c>
      <c r="M6" s="301">
        <v>102000</v>
      </c>
      <c r="N6" s="301">
        <f>314324+27746-14232-751+7810</f>
        <v>334897</v>
      </c>
      <c r="O6" s="302">
        <f t="shared" ref="O6:O24" si="1">SUM(C6:N6)</f>
        <v>1660897</v>
      </c>
    </row>
    <row r="7" spans="1:15" ht="22.15" customHeight="1">
      <c r="A7" s="310" t="s">
        <v>62</v>
      </c>
      <c r="B7" s="300" t="s">
        <v>376</v>
      </c>
      <c r="C7" s="301">
        <v>20000</v>
      </c>
      <c r="D7" s="301">
        <v>20000</v>
      </c>
      <c r="E7" s="301">
        <v>300000</v>
      </c>
      <c r="F7" s="301">
        <v>20000</v>
      </c>
      <c r="G7" s="301">
        <v>60000</v>
      </c>
      <c r="H7" s="301">
        <v>20000</v>
      </c>
      <c r="I7" s="301">
        <v>20000</v>
      </c>
      <c r="J7" s="301">
        <v>20000</v>
      </c>
      <c r="K7" s="301">
        <v>300000</v>
      </c>
      <c r="L7" s="301">
        <v>20000</v>
      </c>
      <c r="M7" s="301">
        <v>20000</v>
      </c>
      <c r="N7" s="301">
        <f>79350+'2'!H6+257567+690</f>
        <v>343107</v>
      </c>
      <c r="O7" s="302">
        <f t="shared" si="1"/>
        <v>1163107</v>
      </c>
    </row>
    <row r="8" spans="1:15" ht="22.15" customHeight="1">
      <c r="A8" s="310" t="s">
        <v>63</v>
      </c>
      <c r="B8" s="300" t="s">
        <v>47</v>
      </c>
      <c r="C8" s="304">
        <v>42000</v>
      </c>
      <c r="D8" s="304">
        <v>45000</v>
      </c>
      <c r="E8" s="304">
        <v>45000</v>
      </c>
      <c r="F8" s="304">
        <v>45000</v>
      </c>
      <c r="G8" s="304">
        <v>45000</v>
      </c>
      <c r="H8" s="304">
        <v>45000</v>
      </c>
      <c r="I8" s="304">
        <v>45000</v>
      </c>
      <c r="J8" s="304">
        <v>45000</v>
      </c>
      <c r="K8" s="304">
        <v>45000</v>
      </c>
      <c r="L8" s="304">
        <v>45000</v>
      </c>
      <c r="M8" s="304">
        <v>45000</v>
      </c>
      <c r="N8" s="304">
        <f>86307+'2'!H7+27905-690+751-10490</f>
        <v>123627</v>
      </c>
      <c r="O8" s="305">
        <f t="shared" si="1"/>
        <v>615627</v>
      </c>
    </row>
    <row r="9" spans="1:15" ht="22.15" customHeight="1">
      <c r="A9" s="310" t="s">
        <v>64</v>
      </c>
      <c r="B9" s="300" t="s">
        <v>378</v>
      </c>
      <c r="C9" s="301"/>
      <c r="D9" s="301"/>
      <c r="E9" s="301">
        <v>350</v>
      </c>
      <c r="F9" s="301"/>
      <c r="G9" s="301"/>
      <c r="H9" s="301">
        <v>350</v>
      </c>
      <c r="I9" s="301"/>
      <c r="J9" s="301"/>
      <c r="K9" s="301">
        <v>350</v>
      </c>
      <c r="L9" s="301"/>
      <c r="M9" s="301"/>
      <c r="N9" s="301">
        <v>3715</v>
      </c>
      <c r="O9" s="302">
        <f t="shared" si="1"/>
        <v>4765</v>
      </c>
    </row>
    <row r="10" spans="1:15" ht="28.9" customHeight="1">
      <c r="A10" s="310" t="s">
        <v>65</v>
      </c>
      <c r="B10" s="300" t="s">
        <v>367</v>
      </c>
      <c r="C10" s="301"/>
      <c r="D10" s="301">
        <v>565884</v>
      </c>
      <c r="E10" s="301">
        <v>41710</v>
      </c>
      <c r="F10" s="301">
        <v>41710</v>
      </c>
      <c r="G10" s="301">
        <v>41710</v>
      </c>
      <c r="H10" s="301">
        <v>41710</v>
      </c>
      <c r="I10" s="301">
        <v>41710</v>
      </c>
      <c r="J10" s="301">
        <v>41710</v>
      </c>
      <c r="K10" s="301">
        <v>19998</v>
      </c>
      <c r="L10" s="301"/>
      <c r="M10" s="301"/>
      <c r="N10" s="301">
        <v>2431</v>
      </c>
      <c r="O10" s="302">
        <f t="shared" si="1"/>
        <v>838573</v>
      </c>
    </row>
    <row r="11" spans="1:15" ht="22.15" customHeight="1">
      <c r="A11" s="310" t="s">
        <v>66</v>
      </c>
      <c r="B11" s="300" t="s">
        <v>377</v>
      </c>
      <c r="C11" s="301"/>
      <c r="D11" s="301"/>
      <c r="E11" s="301"/>
      <c r="F11" s="301"/>
      <c r="G11" s="301"/>
      <c r="H11" s="301">
        <v>4167</v>
      </c>
      <c r="I11" s="301"/>
      <c r="J11" s="301"/>
      <c r="K11" s="301"/>
      <c r="L11" s="301"/>
      <c r="M11" s="301"/>
      <c r="N11" s="301">
        <v>6913</v>
      </c>
      <c r="O11" s="302">
        <f t="shared" si="1"/>
        <v>11080</v>
      </c>
    </row>
    <row r="12" spans="1:15" ht="22.15" customHeight="1">
      <c r="A12" s="310" t="s">
        <v>67</v>
      </c>
      <c r="B12" s="300" t="s">
        <v>379</v>
      </c>
      <c r="C12" s="301">
        <v>3113</v>
      </c>
      <c r="D12" s="301">
        <v>3113</v>
      </c>
      <c r="E12" s="301">
        <v>3113</v>
      </c>
      <c r="F12" s="301">
        <v>3113</v>
      </c>
      <c r="G12" s="301">
        <v>3113</v>
      </c>
      <c r="H12" s="301">
        <v>3113</v>
      </c>
      <c r="I12" s="301">
        <v>3113</v>
      </c>
      <c r="J12" s="301">
        <v>3113</v>
      </c>
      <c r="K12" s="301">
        <v>3113</v>
      </c>
      <c r="L12" s="301">
        <v>3113</v>
      </c>
      <c r="M12" s="301">
        <v>3113</v>
      </c>
      <c r="N12" s="301">
        <f>3822+624+300</f>
        <v>4746</v>
      </c>
      <c r="O12" s="302">
        <f t="shared" si="1"/>
        <v>38989</v>
      </c>
    </row>
    <row r="13" spans="1:15" ht="22.15" customHeight="1" thickBot="1">
      <c r="A13" s="310" t="s">
        <v>68</v>
      </c>
      <c r="B13" s="311" t="s">
        <v>380</v>
      </c>
      <c r="C13" s="301"/>
      <c r="D13" s="301">
        <v>340000</v>
      </c>
      <c r="E13" s="301"/>
      <c r="F13" s="301"/>
      <c r="G13" s="301"/>
      <c r="H13" s="301"/>
      <c r="I13" s="301"/>
      <c r="J13" s="301">
        <v>500000</v>
      </c>
      <c r="K13" s="301"/>
      <c r="L13" s="301">
        <v>130000</v>
      </c>
      <c r="M13" s="301">
        <v>300000</v>
      </c>
      <c r="N13" s="301">
        <v>1376320</v>
      </c>
      <c r="O13" s="302">
        <f t="shared" si="1"/>
        <v>2646320</v>
      </c>
    </row>
    <row r="14" spans="1:15" s="296" customFormat="1" ht="28.15" customHeight="1" thickBot="1">
      <c r="A14" s="316"/>
      <c r="B14" s="317" t="s">
        <v>502</v>
      </c>
      <c r="C14" s="318">
        <f t="shared" ref="C14:N14" si="2">SUM(C5:C13)</f>
        <v>1084879</v>
      </c>
      <c r="D14" s="318">
        <f t="shared" si="2"/>
        <v>1961876</v>
      </c>
      <c r="E14" s="318">
        <f t="shared" si="2"/>
        <v>1822995</v>
      </c>
      <c r="F14" s="318">
        <f t="shared" si="2"/>
        <v>1822818</v>
      </c>
      <c r="G14" s="318">
        <f t="shared" si="2"/>
        <v>1808291</v>
      </c>
      <c r="H14" s="318">
        <f t="shared" si="2"/>
        <v>1644631</v>
      </c>
      <c r="I14" s="318">
        <f t="shared" si="2"/>
        <v>1529454</v>
      </c>
      <c r="J14" s="318">
        <f t="shared" si="2"/>
        <v>1635420</v>
      </c>
      <c r="K14" s="318">
        <f t="shared" si="2"/>
        <v>1859021</v>
      </c>
      <c r="L14" s="318">
        <f t="shared" si="2"/>
        <v>1513354</v>
      </c>
      <c r="M14" s="318">
        <f t="shared" si="2"/>
        <v>1341077</v>
      </c>
      <c r="N14" s="318">
        <f t="shared" si="2"/>
        <v>2340208</v>
      </c>
      <c r="O14" s="319"/>
    </row>
    <row r="15" spans="1:15" s="296" customFormat="1" ht="24" customHeight="1" thickBot="1">
      <c r="A15" s="307"/>
      <c r="B15" s="1986" t="s">
        <v>44</v>
      </c>
      <c r="C15" s="1987"/>
      <c r="D15" s="1987"/>
      <c r="E15" s="1987"/>
      <c r="F15" s="1987"/>
      <c r="G15" s="1987"/>
      <c r="H15" s="1987"/>
      <c r="I15" s="1987"/>
      <c r="J15" s="1987"/>
      <c r="K15" s="1987"/>
      <c r="L15" s="1987"/>
      <c r="M15" s="1987"/>
      <c r="N15" s="1987"/>
      <c r="O15" s="1988"/>
    </row>
    <row r="16" spans="1:15" ht="22.15" customHeight="1">
      <c r="A16" s="312" t="s">
        <v>60</v>
      </c>
      <c r="B16" s="313" t="s">
        <v>40</v>
      </c>
      <c r="C16" s="304">
        <v>75000</v>
      </c>
      <c r="D16" s="304">
        <v>75000</v>
      </c>
      <c r="E16" s="304">
        <v>80000</v>
      </c>
      <c r="F16" s="304">
        <v>80000</v>
      </c>
      <c r="G16" s="304">
        <v>80000</v>
      </c>
      <c r="H16" s="304">
        <v>80000</v>
      </c>
      <c r="I16" s="304">
        <v>85000</v>
      </c>
      <c r="J16" s="304">
        <v>85000</v>
      </c>
      <c r="K16" s="304">
        <v>85000</v>
      </c>
      <c r="L16" s="304">
        <v>90000</v>
      </c>
      <c r="M16" s="304">
        <v>95000</v>
      </c>
      <c r="N16" s="304">
        <f>159979+'2'!U5+20363</f>
        <v>193355</v>
      </c>
      <c r="O16" s="305">
        <f t="shared" si="1"/>
        <v>1103355</v>
      </c>
    </row>
    <row r="17" spans="1:15" ht="28.9" customHeight="1">
      <c r="A17" s="312" t="s">
        <v>61</v>
      </c>
      <c r="B17" s="314" t="s">
        <v>303</v>
      </c>
      <c r="C17" s="301">
        <v>21000</v>
      </c>
      <c r="D17" s="301">
        <v>21000</v>
      </c>
      <c r="E17" s="301">
        <v>22000</v>
      </c>
      <c r="F17" s="301">
        <v>22000</v>
      </c>
      <c r="G17" s="301">
        <v>22000</v>
      </c>
      <c r="H17" s="301">
        <v>22000</v>
      </c>
      <c r="I17" s="301">
        <v>24000</v>
      </c>
      <c r="J17" s="301">
        <v>24000</v>
      </c>
      <c r="K17" s="301">
        <v>24000</v>
      </c>
      <c r="L17" s="301">
        <v>24000</v>
      </c>
      <c r="M17" s="301">
        <v>25000</v>
      </c>
      <c r="N17" s="301">
        <f>37592+'2'!U6+2067+402</f>
        <v>41515</v>
      </c>
      <c r="O17" s="302">
        <f t="shared" si="1"/>
        <v>292515</v>
      </c>
    </row>
    <row r="18" spans="1:15" ht="22.15" customHeight="1">
      <c r="A18" s="312" t="s">
        <v>62</v>
      </c>
      <c r="B18" s="311" t="s">
        <v>132</v>
      </c>
      <c r="C18" s="301">
        <v>68000</v>
      </c>
      <c r="D18" s="301">
        <v>75000</v>
      </c>
      <c r="E18" s="301">
        <v>75000</v>
      </c>
      <c r="F18" s="301">
        <v>75000</v>
      </c>
      <c r="G18" s="301">
        <v>65000</v>
      </c>
      <c r="H18" s="301">
        <v>80000</v>
      </c>
      <c r="I18" s="301">
        <v>80000</v>
      </c>
      <c r="J18" s="301">
        <v>80000</v>
      </c>
      <c r="K18" s="301">
        <v>110000</v>
      </c>
      <c r="L18" s="301">
        <v>85000</v>
      </c>
      <c r="M18" s="301">
        <v>85000</v>
      </c>
      <c r="N18" s="301">
        <f>279120-4877</f>
        <v>274243</v>
      </c>
      <c r="O18" s="302">
        <f t="shared" si="1"/>
        <v>1152243</v>
      </c>
    </row>
    <row r="19" spans="1:15" ht="22.15" customHeight="1">
      <c r="A19" s="312" t="s">
        <v>63</v>
      </c>
      <c r="B19" s="311" t="s">
        <v>42</v>
      </c>
      <c r="C19" s="301">
        <v>35000</v>
      </c>
      <c r="D19" s="301">
        <v>35000</v>
      </c>
      <c r="E19" s="301">
        <v>35000</v>
      </c>
      <c r="F19" s="301">
        <v>35000</v>
      </c>
      <c r="G19" s="301">
        <v>35000</v>
      </c>
      <c r="H19" s="301">
        <v>35000</v>
      </c>
      <c r="I19" s="301">
        <v>35000</v>
      </c>
      <c r="J19" s="301">
        <v>40000</v>
      </c>
      <c r="K19" s="301">
        <v>35000</v>
      </c>
      <c r="L19" s="301">
        <v>35000</v>
      </c>
      <c r="M19" s="301">
        <v>40000</v>
      </c>
      <c r="N19" s="301">
        <f>46793+'2'!U8-15000</f>
        <v>44176</v>
      </c>
      <c r="O19" s="302">
        <f t="shared" si="1"/>
        <v>439176</v>
      </c>
    </row>
    <row r="20" spans="1:15" ht="22.15" customHeight="1">
      <c r="A20" s="312" t="s">
        <v>64</v>
      </c>
      <c r="B20" s="311" t="s">
        <v>361</v>
      </c>
      <c r="C20" s="301"/>
      <c r="D20" s="301"/>
      <c r="E20" s="301"/>
      <c r="F20" s="301">
        <v>34350</v>
      </c>
      <c r="G20" s="301">
        <v>18000</v>
      </c>
      <c r="H20" s="301">
        <v>10000</v>
      </c>
      <c r="I20" s="301">
        <v>10000</v>
      </c>
      <c r="J20" s="301">
        <v>10000</v>
      </c>
      <c r="K20" s="301">
        <v>10000</v>
      </c>
      <c r="L20" s="301">
        <v>20000</v>
      </c>
      <c r="M20" s="301">
        <v>20000</v>
      </c>
      <c r="N20" s="301">
        <v>237929</v>
      </c>
      <c r="O20" s="302">
        <f t="shared" si="1"/>
        <v>370279</v>
      </c>
    </row>
    <row r="21" spans="1:15" ht="22.15" customHeight="1">
      <c r="A21" s="312" t="s">
        <v>65</v>
      </c>
      <c r="B21" s="311" t="s">
        <v>363</v>
      </c>
      <c r="C21" s="301"/>
      <c r="D21" s="301">
        <v>66000</v>
      </c>
      <c r="E21" s="301"/>
      <c r="F21" s="301">
        <v>20000</v>
      </c>
      <c r="G21" s="301">
        <v>150000</v>
      </c>
      <c r="H21" s="301">
        <v>100000</v>
      </c>
      <c r="I21" s="301">
        <v>40348</v>
      </c>
      <c r="J21" s="301">
        <v>96000</v>
      </c>
      <c r="K21" s="301">
        <v>370000</v>
      </c>
      <c r="L21" s="301">
        <v>348390</v>
      </c>
      <c r="M21" s="301">
        <v>372059</v>
      </c>
      <c r="N21" s="301">
        <f>372059-70044</f>
        <v>302015</v>
      </c>
      <c r="O21" s="302">
        <f t="shared" si="1"/>
        <v>1864812</v>
      </c>
    </row>
    <row r="22" spans="1:15" ht="22.15" customHeight="1">
      <c r="A22" s="312" t="s">
        <v>66</v>
      </c>
      <c r="B22" s="314" t="s">
        <v>54</v>
      </c>
      <c r="C22" s="301"/>
      <c r="D22" s="301"/>
      <c r="E22" s="301"/>
      <c r="F22" s="301" t="s">
        <v>98</v>
      </c>
      <c r="G22" s="301">
        <v>10000</v>
      </c>
      <c r="H22" s="301"/>
      <c r="I22" s="301">
        <v>31509</v>
      </c>
      <c r="J22" s="301"/>
      <c r="K22" s="301">
        <v>11780</v>
      </c>
      <c r="L22" s="301">
        <v>40000</v>
      </c>
      <c r="M22" s="301">
        <v>79566</v>
      </c>
      <c r="N22" s="301">
        <v>0</v>
      </c>
      <c r="O22" s="302">
        <f t="shared" si="1"/>
        <v>172855</v>
      </c>
    </row>
    <row r="23" spans="1:15" ht="22.15" customHeight="1">
      <c r="A23" s="312" t="s">
        <v>67</v>
      </c>
      <c r="B23" s="311" t="s">
        <v>503</v>
      </c>
      <c r="C23" s="301"/>
      <c r="D23" s="301"/>
      <c r="E23" s="301"/>
      <c r="F23" s="301" t="s">
        <v>98</v>
      </c>
      <c r="G23" s="301" t="s">
        <v>98</v>
      </c>
      <c r="H23" s="301" t="s">
        <v>98</v>
      </c>
      <c r="I23" s="301"/>
      <c r="J23" s="301">
        <v>13860</v>
      </c>
      <c r="K23" s="301" t="s">
        <v>98</v>
      </c>
      <c r="L23" s="301"/>
      <c r="M23" s="301"/>
      <c r="N23" s="301"/>
      <c r="O23" s="302">
        <f t="shared" si="1"/>
        <v>13860</v>
      </c>
    </row>
    <row r="24" spans="1:15" ht="22.15" customHeight="1" thickBot="1">
      <c r="A24" s="310" t="s">
        <v>68</v>
      </c>
      <c r="B24" s="311" t="s">
        <v>138</v>
      </c>
      <c r="C24" s="301"/>
      <c r="D24" s="301">
        <v>461054</v>
      </c>
      <c r="E24" s="301"/>
      <c r="F24" s="301" t="s">
        <v>98</v>
      </c>
      <c r="G24" s="301" t="s">
        <v>98</v>
      </c>
      <c r="H24" s="301" t="s">
        <v>98</v>
      </c>
      <c r="I24" s="301">
        <v>300000</v>
      </c>
      <c r="J24" s="301" t="s">
        <v>98</v>
      </c>
      <c r="K24" s="301" t="s">
        <v>98</v>
      </c>
      <c r="L24" s="301" t="s">
        <v>98</v>
      </c>
      <c r="M24" s="301">
        <v>480000</v>
      </c>
      <c r="N24" s="301">
        <v>894741</v>
      </c>
      <c r="O24" s="302">
        <f t="shared" si="1"/>
        <v>2135795</v>
      </c>
    </row>
    <row r="25" spans="1:15" s="296" customFormat="1" ht="28.15" customHeight="1" thickBot="1">
      <c r="A25" s="320"/>
      <c r="B25" s="317" t="s">
        <v>504</v>
      </c>
      <c r="C25" s="318">
        <f>SUM(C16:C24)</f>
        <v>199000</v>
      </c>
      <c r="D25" s="318">
        <f>SUM(D16:D24)</f>
        <v>733054</v>
      </c>
      <c r="E25" s="318">
        <f>SUM(E16:E24)</f>
        <v>212000</v>
      </c>
      <c r="F25" s="318">
        <f t="shared" ref="F25:L25" si="3">SUM(F16:F24)</f>
        <v>266350</v>
      </c>
      <c r="G25" s="318">
        <f t="shared" si="3"/>
        <v>380000</v>
      </c>
      <c r="H25" s="318">
        <f t="shared" si="3"/>
        <v>327000</v>
      </c>
      <c r="I25" s="318">
        <f t="shared" si="3"/>
        <v>605857</v>
      </c>
      <c r="J25" s="318">
        <f t="shared" si="3"/>
        <v>348860</v>
      </c>
      <c r="K25" s="318">
        <f t="shared" si="3"/>
        <v>645780</v>
      </c>
      <c r="L25" s="318">
        <f t="shared" si="3"/>
        <v>642390</v>
      </c>
      <c r="M25" s="318">
        <f>SUM(M16:M24)</f>
        <v>1196625</v>
      </c>
      <c r="N25" s="318">
        <f>SUM(N16:N24)</f>
        <v>1987974</v>
      </c>
      <c r="O25" s="319">
        <f>SUM(O16:O24)</f>
        <v>7544890</v>
      </c>
    </row>
    <row r="26" spans="1:15" ht="28.15" customHeight="1" thickBot="1">
      <c r="A26" s="320"/>
      <c r="B26" s="317" t="s">
        <v>505</v>
      </c>
      <c r="C26" s="318">
        <f t="shared" ref="C26:N26" si="4">C14-C25</f>
        <v>885879</v>
      </c>
      <c r="D26" s="318">
        <f t="shared" si="4"/>
        <v>1228822</v>
      </c>
      <c r="E26" s="318">
        <f t="shared" si="4"/>
        <v>1610995</v>
      </c>
      <c r="F26" s="318">
        <f t="shared" si="4"/>
        <v>1556468</v>
      </c>
      <c r="G26" s="318">
        <f t="shared" si="4"/>
        <v>1428291</v>
      </c>
      <c r="H26" s="318">
        <f t="shared" si="4"/>
        <v>1317631</v>
      </c>
      <c r="I26" s="318">
        <f t="shared" si="4"/>
        <v>923597</v>
      </c>
      <c r="J26" s="318">
        <f t="shared" si="4"/>
        <v>1286560</v>
      </c>
      <c r="K26" s="318">
        <f t="shared" si="4"/>
        <v>1213241</v>
      </c>
      <c r="L26" s="318">
        <f t="shared" si="4"/>
        <v>870964</v>
      </c>
      <c r="M26" s="318">
        <f t="shared" si="4"/>
        <v>144452</v>
      </c>
      <c r="N26" s="318">
        <f t="shared" si="4"/>
        <v>352234</v>
      </c>
      <c r="O26" s="321" t="s">
        <v>501</v>
      </c>
    </row>
    <row r="28" spans="1:15">
      <c r="B28" s="315"/>
      <c r="C28" s="315"/>
      <c r="D28" s="315"/>
    </row>
  </sheetData>
  <mergeCells count="3">
    <mergeCell ref="A1:O1"/>
    <mergeCell ref="B4:O4"/>
    <mergeCell ref="B15:O15"/>
  </mergeCells>
  <pageMargins left="0.70866141732283472" right="0.70866141732283472" top="0.78740157480314965" bottom="0.78740157480314965" header="0.31496062992125984" footer="0.31496062992125984"/>
  <pageSetup paperSize="9" scale="78" orientation="landscape" r:id="rId1"/>
  <headerFooter>
    <oddHeader>&amp;L&amp;"Arial,Dőlt"&amp;U17. melléklet a 15/2015. (V.29.) önkormányzati rendelethez</oddHeader>
    <oddFooter>&amp;CNagykőrös Város Önkormányzat 2014. évi zárszámadási rendelete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view="pageBreakPreview" zoomScale="80" zoomScaleNormal="100" zoomScaleSheetLayoutView="80" workbookViewId="0">
      <selection activeCell="S16" sqref="S16"/>
    </sheetView>
  </sheetViews>
  <sheetFormatPr defaultColWidth="11.7109375" defaultRowHeight="15"/>
  <cols>
    <col min="1" max="1" width="48.5703125" style="328" customWidth="1"/>
    <col min="2" max="3" width="13.42578125" style="328" hidden="1" customWidth="1"/>
    <col min="4" max="4" width="13.5703125" style="326" customWidth="1"/>
    <col min="5" max="6" width="13.5703125" style="326" hidden="1" customWidth="1"/>
    <col min="7" max="7" width="13.42578125" style="326" hidden="1" customWidth="1"/>
    <col min="8" max="9" width="13.5703125" style="326" customWidth="1"/>
    <col min="10" max="10" width="14.140625" style="326" customWidth="1"/>
    <col min="11" max="11" width="48.7109375" style="324" customWidth="1"/>
    <col min="12" max="13" width="13.42578125" style="324" hidden="1" customWidth="1"/>
    <col min="14" max="14" width="13.42578125" style="324" customWidth="1"/>
    <col min="15" max="17" width="13.42578125" style="324" hidden="1" customWidth="1"/>
    <col min="18" max="19" width="13.42578125" style="324" customWidth="1"/>
    <col min="20" max="20" width="14.140625" style="324" customWidth="1"/>
    <col min="21" max="16384" width="11.7109375" style="324"/>
  </cols>
  <sheetData>
    <row r="1" spans="1:22" ht="24" customHeight="1">
      <c r="A1" s="1989" t="s">
        <v>198</v>
      </c>
      <c r="B1" s="1989"/>
      <c r="C1" s="1989"/>
      <c r="D1" s="1989"/>
      <c r="E1" s="1989"/>
      <c r="F1" s="1989"/>
      <c r="G1" s="1989"/>
      <c r="H1" s="1989"/>
      <c r="I1" s="1989"/>
      <c r="J1" s="1989"/>
      <c r="K1" s="1989"/>
      <c r="L1" s="1989"/>
      <c r="M1" s="1989"/>
      <c r="N1" s="1989"/>
      <c r="O1" s="1989"/>
      <c r="P1" s="1989"/>
      <c r="Q1" s="1989"/>
      <c r="R1" s="1989"/>
      <c r="S1" s="1989"/>
      <c r="T1" s="1989"/>
    </row>
    <row r="2" spans="1:22" ht="31.5" customHeight="1" thickBot="1">
      <c r="A2" s="323"/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</row>
    <row r="3" spans="1:22" s="416" customFormat="1" ht="52.9" customHeight="1" thickBot="1">
      <c r="A3" s="414" t="s">
        <v>43</v>
      </c>
      <c r="B3" s="415" t="s">
        <v>483</v>
      </c>
      <c r="C3" s="415" t="s">
        <v>561</v>
      </c>
      <c r="D3" s="500" t="s">
        <v>284</v>
      </c>
      <c r="E3" s="500" t="s">
        <v>815</v>
      </c>
      <c r="F3" s="995" t="s">
        <v>156</v>
      </c>
      <c r="G3" s="995" t="s">
        <v>863</v>
      </c>
      <c r="H3" s="1563" t="s">
        <v>953</v>
      </c>
      <c r="I3" s="1563" t="s">
        <v>954</v>
      </c>
      <c r="J3" s="1583" t="s">
        <v>955</v>
      </c>
      <c r="K3" s="414" t="s">
        <v>44</v>
      </c>
      <c r="L3" s="415" t="s">
        <v>483</v>
      </c>
      <c r="M3" s="415" t="s">
        <v>561</v>
      </c>
      <c r="N3" s="500" t="s">
        <v>284</v>
      </c>
      <c r="O3" s="500" t="s">
        <v>815</v>
      </c>
      <c r="P3" s="995" t="s">
        <v>156</v>
      </c>
      <c r="Q3" s="995" t="s">
        <v>863</v>
      </c>
      <c r="R3" s="1563" t="s">
        <v>953</v>
      </c>
      <c r="S3" s="1563" t="s">
        <v>954</v>
      </c>
      <c r="T3" s="1571" t="s">
        <v>955</v>
      </c>
    </row>
    <row r="4" spans="1:22" s="416" customFormat="1" ht="32.450000000000003" customHeight="1">
      <c r="A4" s="417" t="s">
        <v>45</v>
      </c>
      <c r="B4" s="1005">
        <f t="shared" ref="B4:H4" si="0">SUM(B5:B9)</f>
        <v>5220654</v>
      </c>
      <c r="C4" s="1005">
        <f t="shared" si="0"/>
        <v>2577791</v>
      </c>
      <c r="D4" s="1005">
        <f t="shared" si="0"/>
        <v>2678166</v>
      </c>
      <c r="E4" s="1005">
        <f t="shared" si="0"/>
        <v>89714</v>
      </c>
      <c r="F4" s="1005">
        <f t="shared" si="0"/>
        <v>2767880</v>
      </c>
      <c r="G4" s="1005">
        <f t="shared" si="0"/>
        <v>260397</v>
      </c>
      <c r="H4" s="1005">
        <f t="shared" si="0"/>
        <v>3444396</v>
      </c>
      <c r="I4" s="1564">
        <f>SUM(I5:I9)</f>
        <v>3104044</v>
      </c>
      <c r="J4" s="1584">
        <f>I4/H4</f>
        <v>0.90118673927155879</v>
      </c>
      <c r="K4" s="417" t="s">
        <v>46</v>
      </c>
      <c r="L4" s="1005">
        <f t="shared" ref="L4:S4" si="1">SUM(L5:L9)</f>
        <v>4521620</v>
      </c>
      <c r="M4" s="1005">
        <f t="shared" si="1"/>
        <v>2753898</v>
      </c>
      <c r="N4" s="1017">
        <f t="shared" si="1"/>
        <v>2695283</v>
      </c>
      <c r="O4" s="1017" t="e">
        <f t="shared" si="1"/>
        <v>#REF!</v>
      </c>
      <c r="P4" s="1017" t="e">
        <f t="shared" si="1"/>
        <v>#REF!</v>
      </c>
      <c r="Q4" s="1568" t="e">
        <f t="shared" si="1"/>
        <v>#REF!</v>
      </c>
      <c r="R4" s="1569">
        <f t="shared" si="1"/>
        <v>3357568</v>
      </c>
      <c r="S4" s="1569">
        <f t="shared" si="1"/>
        <v>2602982</v>
      </c>
      <c r="T4" s="1573">
        <f t="shared" ref="T4:T15" si="2">S4/R4</f>
        <v>0.77525816305135142</v>
      </c>
    </row>
    <row r="5" spans="1:22" s="416" customFormat="1" ht="32.450000000000003" customHeight="1">
      <c r="A5" s="418" t="s">
        <v>366</v>
      </c>
      <c r="B5" s="1006">
        <f>1304992+454226</f>
        <v>1759218</v>
      </c>
      <c r="C5" s="1006">
        <v>1187633</v>
      </c>
      <c r="D5" s="999">
        <f>'4'!C160+'5'!C3+'6'!C3</f>
        <v>1299158</v>
      </c>
      <c r="E5" s="999">
        <f>'4'!D160+'5'!D3+'6'!D3</f>
        <v>71487</v>
      </c>
      <c r="F5" s="999">
        <f>D5+E5</f>
        <v>1370645</v>
      </c>
      <c r="G5" s="999">
        <f>'4'!F160+'5'!F3+'6'!F3</f>
        <v>193857</v>
      </c>
      <c r="H5" s="999">
        <v>1660897</v>
      </c>
      <c r="I5" s="999">
        <f>'4'!N160+'5'!L3+'6'!N3</f>
        <v>1631384</v>
      </c>
      <c r="J5" s="1585">
        <f>I5/H5</f>
        <v>0.98223068618945064</v>
      </c>
      <c r="K5" s="996" t="s">
        <v>40</v>
      </c>
      <c r="L5" s="1018">
        <v>1594303</v>
      </c>
      <c r="M5" s="1018">
        <v>925901</v>
      </c>
      <c r="N5" s="1019">
        <f>'7'!C173+'8'!C185+'9'!C82</f>
        <v>893102</v>
      </c>
      <c r="O5" s="1019">
        <f>'7'!D173+'8'!D185+'9'!D82</f>
        <v>89653</v>
      </c>
      <c r="P5" s="1019">
        <f>N5+O5</f>
        <v>982755</v>
      </c>
      <c r="Q5" s="1019">
        <f>'7'!F173+'8'!F185+'9'!F82</f>
        <v>40893</v>
      </c>
      <c r="R5" s="1019">
        <v>1103355</v>
      </c>
      <c r="S5" s="1019">
        <f>'7'!N173+'8'!L185+'9'!L82</f>
        <v>1038838</v>
      </c>
      <c r="T5" s="1572">
        <f t="shared" si="2"/>
        <v>0.94152652591414365</v>
      </c>
      <c r="V5" s="416">
        <v>1631384</v>
      </c>
    </row>
    <row r="6" spans="1:22" s="419" customFormat="1" ht="32.450000000000003" customHeight="1">
      <c r="A6" s="418" t="s">
        <v>376</v>
      </c>
      <c r="B6" s="1006">
        <v>1677448</v>
      </c>
      <c r="C6" s="1006">
        <f>1316708-374907</f>
        <v>941801</v>
      </c>
      <c r="D6" s="999">
        <f>'4'!C161+'5'!C83+'6'!C5</f>
        <v>866650</v>
      </c>
      <c r="E6" s="999">
        <f>'4'!D161+'5'!D83+'6'!D5</f>
        <v>800</v>
      </c>
      <c r="F6" s="999">
        <f>D6+E6</f>
        <v>867450</v>
      </c>
      <c r="G6" s="999">
        <f>'4'!F161+'5'!F83+'6'!F5</f>
        <v>32200</v>
      </c>
      <c r="H6" s="999">
        <v>1163107</v>
      </c>
      <c r="I6" s="999">
        <f>'4'!N162+'5'!L83+'6'!N5</f>
        <v>1019127</v>
      </c>
      <c r="J6" s="1585">
        <f t="shared" ref="J6:J8" si="3">I6/H6</f>
        <v>0.87621087311829438</v>
      </c>
      <c r="K6" s="996" t="s">
        <v>303</v>
      </c>
      <c r="L6" s="1018">
        <v>410402</v>
      </c>
      <c r="M6" s="1018">
        <v>250052</v>
      </c>
      <c r="N6" s="1019">
        <f>'7'!C174+'8'!C186+'9'!C83</f>
        <v>256331</v>
      </c>
      <c r="O6" s="1019">
        <f>'7'!D174+'8'!D186+'9'!D83</f>
        <v>20208</v>
      </c>
      <c r="P6" s="1019">
        <f>N6+O6</f>
        <v>276539</v>
      </c>
      <c r="Q6" s="1019">
        <f>'7'!F174+'8'!F186+'9'!F83</f>
        <v>4158</v>
      </c>
      <c r="R6" s="1019">
        <v>292515</v>
      </c>
      <c r="S6" s="1019">
        <f>'7'!N174+'8'!L186+'9'!L83</f>
        <v>274824</v>
      </c>
      <c r="T6" s="1572">
        <f t="shared" si="2"/>
        <v>0.93952105020255372</v>
      </c>
      <c r="V6" s="419">
        <v>1019127</v>
      </c>
    </row>
    <row r="7" spans="1:22" s="419" customFormat="1" ht="32.450000000000003" customHeight="1">
      <c r="A7" s="418" t="s">
        <v>47</v>
      </c>
      <c r="B7" s="1006">
        <v>1767568</v>
      </c>
      <c r="C7" s="1006">
        <f>374907+44827+12016</f>
        <v>431750</v>
      </c>
      <c r="D7" s="999">
        <f>'4'!C163+'5'!C97+'6'!C10</f>
        <v>511758</v>
      </c>
      <c r="E7" s="999">
        <f>'4'!D163+'5'!D97+'6'!D10</f>
        <v>11507</v>
      </c>
      <c r="F7" s="999">
        <f>D7+E7</f>
        <v>523265</v>
      </c>
      <c r="G7" s="999">
        <f>'4'!F163+'5'!F97+'6'!F10</f>
        <v>33530</v>
      </c>
      <c r="H7" s="999">
        <v>615627</v>
      </c>
      <c r="I7" s="999">
        <f>'4'!N163+'5'!L97+'6'!N10</f>
        <v>449286</v>
      </c>
      <c r="J7" s="1585">
        <f t="shared" si="3"/>
        <v>0.72980229911943428</v>
      </c>
      <c r="K7" s="996" t="s">
        <v>132</v>
      </c>
      <c r="L7" s="1018">
        <v>1822702</v>
      </c>
      <c r="M7" s="1018">
        <v>949918</v>
      </c>
      <c r="N7" s="1019">
        <f>'7'!C175+'8'!C187+'9'!C84</f>
        <v>880050</v>
      </c>
      <c r="O7" s="1019">
        <f>'7'!D175+'8'!D187+'9'!D84</f>
        <v>60669</v>
      </c>
      <c r="P7" s="1019">
        <f>N7+O7</f>
        <v>940719</v>
      </c>
      <c r="Q7" s="1019">
        <f>'7'!F175+'8'!F187+'9'!F84</f>
        <v>61738</v>
      </c>
      <c r="R7" s="1019">
        <v>1152243</v>
      </c>
      <c r="S7" s="1019">
        <f>'7'!N175+'8'!L187+'9'!L84</f>
        <v>966404</v>
      </c>
      <c r="T7" s="1572">
        <f t="shared" si="2"/>
        <v>0.83871544457202174</v>
      </c>
      <c r="V7" s="419">
        <v>449286</v>
      </c>
    </row>
    <row r="8" spans="1:22" s="416" customFormat="1" ht="32.450000000000003" customHeight="1">
      <c r="A8" s="418" t="s">
        <v>378</v>
      </c>
      <c r="B8" s="1006">
        <f>650+15770</f>
        <v>16420</v>
      </c>
      <c r="C8" s="1006">
        <v>16607</v>
      </c>
      <c r="D8" s="999">
        <f>'4'!C165+'5'!C139+'6'!C22</f>
        <v>600</v>
      </c>
      <c r="E8" s="999">
        <f>'4'!D165+'5'!D139+'6'!D22</f>
        <v>5920</v>
      </c>
      <c r="F8" s="999">
        <f>D8+E8</f>
        <v>6520</v>
      </c>
      <c r="G8" s="999">
        <f>'4'!F165+'5'!F139+'6'!F22</f>
        <v>810</v>
      </c>
      <c r="H8" s="999">
        <v>4765</v>
      </c>
      <c r="I8" s="999">
        <f>'4'!N165+'5'!L139+'6'!N22</f>
        <v>4247</v>
      </c>
      <c r="J8" s="1585">
        <f t="shared" si="3"/>
        <v>0.8912906610703043</v>
      </c>
      <c r="K8" s="996" t="s">
        <v>42</v>
      </c>
      <c r="L8" s="1018">
        <f>372295+13635</f>
        <v>385930</v>
      </c>
      <c r="M8" s="1018">
        <v>438760</v>
      </c>
      <c r="N8" s="1019">
        <f>'7'!C176+'8'!C188+'9'!C85</f>
        <v>433600</v>
      </c>
      <c r="O8" s="1019">
        <f>'7'!D176+'8'!D188+'9'!D85</f>
        <v>0</v>
      </c>
      <c r="P8" s="1019">
        <f>N8+O8</f>
        <v>433600</v>
      </c>
      <c r="Q8" s="1019">
        <f>'7'!F176+'8'!F188+'9'!F85</f>
        <v>8093</v>
      </c>
      <c r="R8" s="1019">
        <v>439176</v>
      </c>
      <c r="S8" s="1019">
        <f>'7'!N176+'8'!L188+'9'!L85</f>
        <v>279698</v>
      </c>
      <c r="T8" s="1572">
        <f t="shared" si="2"/>
        <v>0.6368699564639233</v>
      </c>
      <c r="V8" s="416">
        <v>4247</v>
      </c>
    </row>
    <row r="9" spans="1:22" s="421" customFormat="1" ht="32.450000000000003" customHeight="1">
      <c r="A9" s="420"/>
      <c r="B9" s="1008"/>
      <c r="C9" s="1008"/>
      <c r="D9" s="999" t="s">
        <v>98</v>
      </c>
      <c r="E9" s="999"/>
      <c r="F9" s="999"/>
      <c r="G9" s="1007"/>
      <c r="H9" s="999">
        <f>F9+G9</f>
        <v>0</v>
      </c>
      <c r="I9" s="1565"/>
      <c r="J9" s="1585"/>
      <c r="K9" s="996" t="s">
        <v>361</v>
      </c>
      <c r="L9" s="1018">
        <f>60265+16936+41315+189767</f>
        <v>308283</v>
      </c>
      <c r="M9" s="1018">
        <f>60297+83895+45075</f>
        <v>189267</v>
      </c>
      <c r="N9" s="1019">
        <f>'7'!C177+'8'!C189+'9'!C86</f>
        <v>232200</v>
      </c>
      <c r="O9" s="1019" t="e">
        <f>'7'!D177+'8'!D189+'9'!D86</f>
        <v>#REF!</v>
      </c>
      <c r="P9" s="1019" t="e">
        <f>N9+O9</f>
        <v>#REF!</v>
      </c>
      <c r="Q9" s="1019" t="e">
        <f>'7'!F177+'8'!F189+'9'!F86</f>
        <v>#REF!</v>
      </c>
      <c r="R9" s="1019">
        <v>370279</v>
      </c>
      <c r="S9" s="1019">
        <f>'7'!N177+'8'!L189+'9'!L86</f>
        <v>43218</v>
      </c>
      <c r="T9" s="1580">
        <f t="shared" si="2"/>
        <v>0.11671739418114449</v>
      </c>
    </row>
    <row r="10" spans="1:22" s="416" customFormat="1" ht="32.450000000000003" customHeight="1">
      <c r="A10" s="422" t="s">
        <v>52</v>
      </c>
      <c r="B10" s="1009">
        <f t="shared" ref="B10:I10" si="4">SUM(B11:B13)</f>
        <v>2891656</v>
      </c>
      <c r="C10" s="1009">
        <f t="shared" si="4"/>
        <v>1586515</v>
      </c>
      <c r="D10" s="1009">
        <f t="shared" si="4"/>
        <v>454456</v>
      </c>
      <c r="E10" s="1009">
        <f t="shared" si="4"/>
        <v>461221</v>
      </c>
      <c r="F10" s="1009">
        <f t="shared" si="4"/>
        <v>915677</v>
      </c>
      <c r="G10" s="1009">
        <f t="shared" si="4"/>
        <v>147463</v>
      </c>
      <c r="H10" s="1009">
        <f t="shared" si="4"/>
        <v>888642</v>
      </c>
      <c r="I10" s="1009">
        <f t="shared" si="4"/>
        <v>479933</v>
      </c>
      <c r="J10" s="1586">
        <f>I10/H10</f>
        <v>0.54007463072868489</v>
      </c>
      <c r="K10" s="422" t="s">
        <v>53</v>
      </c>
      <c r="L10" s="1009">
        <f t="shared" ref="L10:S10" si="5">SUM(L11:L13)</f>
        <v>4239296</v>
      </c>
      <c r="M10" s="1009">
        <f t="shared" si="5"/>
        <v>1097814</v>
      </c>
      <c r="N10" s="1020">
        <f t="shared" si="5"/>
        <v>1853884</v>
      </c>
      <c r="O10" s="1020">
        <f t="shared" si="5"/>
        <v>203698</v>
      </c>
      <c r="P10" s="1020">
        <f t="shared" si="5"/>
        <v>2057582</v>
      </c>
      <c r="Q10" s="1020">
        <f t="shared" si="5"/>
        <v>11443</v>
      </c>
      <c r="R10" s="1020">
        <f t="shared" si="5"/>
        <v>2051527</v>
      </c>
      <c r="S10" s="1020">
        <f t="shared" si="5"/>
        <v>525148</v>
      </c>
      <c r="T10" s="1581">
        <f t="shared" si="2"/>
        <v>0.25597908289776344</v>
      </c>
    </row>
    <row r="11" spans="1:22" s="416" customFormat="1" ht="32.450000000000003" customHeight="1">
      <c r="A11" s="418" t="s">
        <v>367</v>
      </c>
      <c r="B11" s="1006">
        <v>2654472</v>
      </c>
      <c r="C11" s="1006">
        <v>1449251</v>
      </c>
      <c r="D11" s="999">
        <v>417106</v>
      </c>
      <c r="E11" s="999">
        <f>'4'!D177+'5'!D68+'6'!D4</f>
        <v>461054</v>
      </c>
      <c r="F11" s="999">
        <f>D11+E11</f>
        <v>878160</v>
      </c>
      <c r="G11" s="999">
        <f>'4'!F177+'5'!F68+'6'!F4</f>
        <v>146848</v>
      </c>
      <c r="H11" s="999">
        <v>838573</v>
      </c>
      <c r="I11" s="999">
        <v>458605</v>
      </c>
      <c r="J11" s="1585">
        <f>I11/H11</f>
        <v>0.54688739084134597</v>
      </c>
      <c r="K11" s="996" t="s">
        <v>363</v>
      </c>
      <c r="L11" s="1018">
        <v>4001849</v>
      </c>
      <c r="M11" s="1018">
        <v>983732</v>
      </c>
      <c r="N11" s="1019">
        <f>'7'!C179+'9'!C88+'8'!C191</f>
        <v>1733104</v>
      </c>
      <c r="O11" s="1019">
        <f>'7'!D179+'9'!D88+'8'!D191</f>
        <v>133383</v>
      </c>
      <c r="P11" s="1019">
        <f>N11+O11</f>
        <v>1866487</v>
      </c>
      <c r="Q11" s="1019">
        <f>'7'!F179+'9'!F88+'8'!F191</f>
        <v>11659</v>
      </c>
      <c r="R11" s="1019">
        <v>1864812</v>
      </c>
      <c r="S11" s="1019">
        <f>'7'!N179+'9'!L88+'8'!L191</f>
        <v>445368</v>
      </c>
      <c r="T11" s="1572">
        <f t="shared" si="2"/>
        <v>0.23882729197366812</v>
      </c>
      <c r="V11" s="416">
        <v>458605</v>
      </c>
    </row>
    <row r="12" spans="1:22" s="416" customFormat="1" ht="32.450000000000003" customHeight="1">
      <c r="A12" s="418" t="s">
        <v>377</v>
      </c>
      <c r="B12" s="1006">
        <v>80454</v>
      </c>
      <c r="C12" s="1006">
        <v>126989</v>
      </c>
      <c r="D12" s="999">
        <f>+'4'!C180+'5'!C128+'6'!C21</f>
        <v>0</v>
      </c>
      <c r="E12" s="999">
        <f>+'4'!D180+'5'!D128+'6'!D21</f>
        <v>167</v>
      </c>
      <c r="F12" s="999">
        <f>D12+E12</f>
        <v>167</v>
      </c>
      <c r="G12" s="999">
        <f>+'4'!F180+'5'!F128+'6'!F21</f>
        <v>0</v>
      </c>
      <c r="H12" s="999">
        <v>11080</v>
      </c>
      <c r="I12" s="999">
        <v>11095</v>
      </c>
      <c r="J12" s="1585">
        <f t="shared" ref="J12:J13" si="6">I12/H12</f>
        <v>1.0013537906137184</v>
      </c>
      <c r="K12" s="996" t="s">
        <v>54</v>
      </c>
      <c r="L12" s="1018">
        <v>232932</v>
      </c>
      <c r="M12" s="1018">
        <v>79009</v>
      </c>
      <c r="N12" s="1019">
        <f>'7'!C180+'9'!C89+'8'!C192</f>
        <v>93480</v>
      </c>
      <c r="O12" s="1019">
        <f>'7'!D180+'9'!D89+'8'!D192</f>
        <v>83755</v>
      </c>
      <c r="P12" s="1019">
        <f>N12+O12</f>
        <v>177235</v>
      </c>
      <c r="Q12" s="1019">
        <f>'7'!F180+'9'!F89+'8'!F192</f>
        <v>-216</v>
      </c>
      <c r="R12" s="1019">
        <v>172855</v>
      </c>
      <c r="S12" s="1019">
        <f>'7'!N180+'9'!L89+'8'!L192</f>
        <v>75810</v>
      </c>
      <c r="T12" s="1572">
        <f t="shared" si="2"/>
        <v>0.43857568482253911</v>
      </c>
      <c r="V12" s="416">
        <v>11095</v>
      </c>
    </row>
    <row r="13" spans="1:22" s="416" customFormat="1" ht="32.450000000000003" customHeight="1">
      <c r="A13" s="418" t="s">
        <v>379</v>
      </c>
      <c r="B13" s="1006">
        <f>151245+2113+3372</f>
        <v>156730</v>
      </c>
      <c r="C13" s="1006">
        <f>3069+4470+2736</f>
        <v>10275</v>
      </c>
      <c r="D13" s="999">
        <f>'4'!C182+'5'!C144+'6'!C23</f>
        <v>37350</v>
      </c>
      <c r="E13" s="999">
        <f>'4'!D182+'5'!D144+'6'!D23</f>
        <v>0</v>
      </c>
      <c r="F13" s="999">
        <f>D13+E13</f>
        <v>37350</v>
      </c>
      <c r="G13" s="999">
        <f>'4'!F182+'5'!F144+'6'!F23</f>
        <v>615</v>
      </c>
      <c r="H13" s="999">
        <v>38989</v>
      </c>
      <c r="I13" s="999">
        <v>10233</v>
      </c>
      <c r="J13" s="1585">
        <f t="shared" si="6"/>
        <v>0.26245864218112802</v>
      </c>
      <c r="K13" s="996" t="s">
        <v>364</v>
      </c>
      <c r="L13" s="1018">
        <f>3382+573+560</f>
        <v>4515</v>
      </c>
      <c r="M13" s="1018">
        <f>17128+8439+3920+5586</f>
        <v>35073</v>
      </c>
      <c r="N13" s="1019">
        <f>'7'!C181+'9'!C90+'8'!C193</f>
        <v>27300</v>
      </c>
      <c r="O13" s="1019">
        <f>'7'!D181+'9'!D90+'8'!D193</f>
        <v>-13440</v>
      </c>
      <c r="P13" s="1019">
        <f>N13+O13</f>
        <v>13860</v>
      </c>
      <c r="Q13" s="1019">
        <f>'7'!F181+'9'!F90+'8'!F193</f>
        <v>0</v>
      </c>
      <c r="R13" s="1019">
        <v>13860</v>
      </c>
      <c r="S13" s="1019">
        <f>'7'!N181+'9'!L90+'8'!L193</f>
        <v>3970</v>
      </c>
      <c r="T13" s="1572">
        <f t="shared" si="2"/>
        <v>0.28643578643578643</v>
      </c>
      <c r="V13" s="416">
        <v>10233</v>
      </c>
    </row>
    <row r="14" spans="1:22" s="416" customFormat="1" ht="32.450000000000003" customHeight="1">
      <c r="A14" s="422" t="s">
        <v>56</v>
      </c>
      <c r="B14" s="1009">
        <f>+B10+B4</f>
        <v>8112310</v>
      </c>
      <c r="C14" s="1009">
        <f t="shared" ref="C14:I14" si="7">+C10+C4</f>
        <v>4164306</v>
      </c>
      <c r="D14" s="1009">
        <f t="shared" si="7"/>
        <v>3132622</v>
      </c>
      <c r="E14" s="1009">
        <f t="shared" si="7"/>
        <v>550935</v>
      </c>
      <c r="F14" s="1009">
        <f t="shared" si="7"/>
        <v>3683557</v>
      </c>
      <c r="G14" s="1009">
        <f t="shared" si="7"/>
        <v>407860</v>
      </c>
      <c r="H14" s="1009">
        <f t="shared" si="7"/>
        <v>4333038</v>
      </c>
      <c r="I14" s="1009">
        <f t="shared" si="7"/>
        <v>3583977</v>
      </c>
      <c r="J14" s="1586">
        <f t="shared" ref="J14:J22" si="8">I14/H14</f>
        <v>0.82712798733821402</v>
      </c>
      <c r="K14" s="422" t="s">
        <v>57</v>
      </c>
      <c r="L14" s="1009">
        <f t="shared" ref="L14:S14" si="9">SUM(L10+L4)</f>
        <v>8760916</v>
      </c>
      <c r="M14" s="1009">
        <f t="shared" si="9"/>
        <v>3851712</v>
      </c>
      <c r="N14" s="1021">
        <f t="shared" si="9"/>
        <v>4549167</v>
      </c>
      <c r="O14" s="1021" t="e">
        <f t="shared" si="9"/>
        <v>#REF!</v>
      </c>
      <c r="P14" s="1021" t="e">
        <f t="shared" si="9"/>
        <v>#REF!</v>
      </c>
      <c r="Q14" s="1021" t="e">
        <f t="shared" si="9"/>
        <v>#REF!</v>
      </c>
      <c r="R14" s="1021">
        <f t="shared" si="9"/>
        <v>5409095</v>
      </c>
      <c r="S14" s="1021">
        <f t="shared" si="9"/>
        <v>3128130</v>
      </c>
      <c r="T14" s="1582">
        <f t="shared" si="2"/>
        <v>0.57830931052237022</v>
      </c>
    </row>
    <row r="15" spans="1:22" s="423" customFormat="1" ht="32.450000000000003" customHeight="1">
      <c r="A15" s="1219" t="s">
        <v>441</v>
      </c>
      <c r="B15" s="1010">
        <f>SUM(B16:B17)</f>
        <v>1024511</v>
      </c>
      <c r="C15" s="1010">
        <f>SUM(C16:C17)</f>
        <v>499853</v>
      </c>
      <c r="D15" s="1010">
        <f>'4'!C168+'6'!C25+'5'!C156</f>
        <v>797200</v>
      </c>
      <c r="E15" s="1010">
        <f>'4'!D168+'6'!D25+'5'!D156</f>
        <v>158666</v>
      </c>
      <c r="F15" s="1010">
        <f>D15+E15</f>
        <v>955866</v>
      </c>
      <c r="G15" s="1141"/>
      <c r="H15" s="1010">
        <v>917766</v>
      </c>
      <c r="I15" s="1141">
        <v>917766</v>
      </c>
      <c r="J15" s="1572">
        <f t="shared" si="8"/>
        <v>1</v>
      </c>
      <c r="K15" s="996" t="s">
        <v>138</v>
      </c>
      <c r="L15" s="1018">
        <v>234268</v>
      </c>
      <c r="M15" s="1018">
        <v>878671</v>
      </c>
      <c r="N15" s="1023">
        <f>'7'!C183</f>
        <v>0</v>
      </c>
      <c r="O15" s="1023">
        <f>'7'!D183</f>
        <v>0</v>
      </c>
      <c r="P15" s="1220">
        <f>'2'!R15</f>
        <v>1255795</v>
      </c>
      <c r="Q15" s="1000"/>
      <c r="R15" s="1023">
        <v>2135795</v>
      </c>
      <c r="S15" s="1023">
        <v>1591883</v>
      </c>
      <c r="T15" s="1572">
        <f t="shared" si="2"/>
        <v>0.74533510940890868</v>
      </c>
    </row>
    <row r="16" spans="1:22" s="421" customFormat="1" ht="32.450000000000003" customHeight="1">
      <c r="A16" s="424" t="s">
        <v>51</v>
      </c>
      <c r="B16" s="1011">
        <v>368218</v>
      </c>
      <c r="C16" s="1011">
        <v>439853</v>
      </c>
      <c r="D16" s="999">
        <f>'4'!C168+'5'!C157+'6'!C26</f>
        <v>110200</v>
      </c>
      <c r="E16" s="999">
        <f>'4'!D168+'5'!D157+'6'!D26</f>
        <v>110806</v>
      </c>
      <c r="F16" s="999">
        <f>D16+E16</f>
        <v>221006</v>
      </c>
      <c r="G16" s="999">
        <f>'4'!F168+'5'!F157+'6'!F26</f>
        <v>0</v>
      </c>
      <c r="H16" s="999">
        <f>'4'!G168+'5'!G157+'6'!G26</f>
        <v>189906</v>
      </c>
      <c r="I16" s="999">
        <v>189906</v>
      </c>
      <c r="J16" s="1572">
        <f t="shared" si="8"/>
        <v>1</v>
      </c>
      <c r="K16" s="997"/>
      <c r="L16" s="1023"/>
      <c r="M16" s="1000"/>
      <c r="N16" s="1022"/>
      <c r="O16" s="1000"/>
      <c r="P16" s="1023"/>
      <c r="Q16" s="1000"/>
      <c r="R16" s="1023"/>
      <c r="S16" s="1578"/>
      <c r="T16" s="1574"/>
    </row>
    <row r="17" spans="1:20" s="416" customFormat="1" ht="32.450000000000003" customHeight="1">
      <c r="A17" s="424" t="s">
        <v>55</v>
      </c>
      <c r="B17" s="1011">
        <v>656293</v>
      </c>
      <c r="C17" s="1011">
        <v>60000</v>
      </c>
      <c r="D17" s="999">
        <f>'5'!C158+'6'!C27</f>
        <v>687000</v>
      </c>
      <c r="E17" s="999">
        <f>'5'!D158+'6'!D27</f>
        <v>47860</v>
      </c>
      <c r="F17" s="999">
        <f>D17+E17</f>
        <v>734860</v>
      </c>
      <c r="G17" s="999">
        <f>'5'!F158+'6'!F27</f>
        <v>0</v>
      </c>
      <c r="H17" s="999">
        <f>F17+G17</f>
        <v>734860</v>
      </c>
      <c r="I17" s="999">
        <v>734860</v>
      </c>
      <c r="J17" s="1572">
        <f t="shared" si="8"/>
        <v>1</v>
      </c>
      <c r="K17" s="424"/>
      <c r="L17" s="999"/>
      <c r="M17" s="999"/>
      <c r="N17" s="1024"/>
      <c r="O17" s="999"/>
      <c r="P17" s="1024"/>
      <c r="Q17" s="999"/>
      <c r="R17" s="1024"/>
      <c r="S17" s="1577"/>
      <c r="T17" s="1580"/>
    </row>
    <row r="18" spans="1:20" s="426" customFormat="1" ht="32.450000000000003" customHeight="1">
      <c r="A18" s="425" t="s">
        <v>140</v>
      </c>
      <c r="B18" s="1012">
        <f t="shared" ref="B18:I18" si="10">B14+B15</f>
        <v>9136821</v>
      </c>
      <c r="C18" s="1012">
        <f t="shared" si="10"/>
        <v>4664159</v>
      </c>
      <c r="D18" s="1012">
        <f t="shared" si="10"/>
        <v>3929822</v>
      </c>
      <c r="E18" s="1012">
        <f t="shared" si="10"/>
        <v>709601</v>
      </c>
      <c r="F18" s="1012">
        <f t="shared" si="10"/>
        <v>4639423</v>
      </c>
      <c r="G18" s="1012">
        <f t="shared" si="10"/>
        <v>407860</v>
      </c>
      <c r="H18" s="1012">
        <f t="shared" si="10"/>
        <v>5250804</v>
      </c>
      <c r="I18" s="1012">
        <f t="shared" si="10"/>
        <v>4501743</v>
      </c>
      <c r="J18" s="1586">
        <f t="shared" si="8"/>
        <v>0.85734356110035725</v>
      </c>
      <c r="K18" s="425" t="s">
        <v>141</v>
      </c>
      <c r="L18" s="1012">
        <f t="shared" ref="L18:S18" si="11">L14+L15</f>
        <v>8995184</v>
      </c>
      <c r="M18" s="1012">
        <f t="shared" si="11"/>
        <v>4730383</v>
      </c>
      <c r="N18" s="1021">
        <f t="shared" si="11"/>
        <v>4549167</v>
      </c>
      <c r="O18" s="1021" t="e">
        <f t="shared" si="11"/>
        <v>#REF!</v>
      </c>
      <c r="P18" s="1021" t="e">
        <f t="shared" si="11"/>
        <v>#REF!</v>
      </c>
      <c r="Q18" s="1021" t="e">
        <f t="shared" si="11"/>
        <v>#REF!</v>
      </c>
      <c r="R18" s="1021">
        <f t="shared" si="11"/>
        <v>7544890</v>
      </c>
      <c r="S18" s="1021">
        <f t="shared" si="11"/>
        <v>4720013</v>
      </c>
      <c r="T18" s="1581">
        <f>S18/R18</f>
        <v>0.62559069781004095</v>
      </c>
    </row>
    <row r="19" spans="1:20" s="428" customFormat="1" ht="32.450000000000003" customHeight="1">
      <c r="A19" s="427" t="s">
        <v>217</v>
      </c>
      <c r="B19" s="1001">
        <f t="shared" ref="B19:H19" si="12">B20+B21</f>
        <v>339436</v>
      </c>
      <c r="C19" s="1001">
        <f t="shared" si="12"/>
        <v>72000</v>
      </c>
      <c r="D19" s="1001">
        <f t="shared" si="12"/>
        <v>619345</v>
      </c>
      <c r="E19" s="1001">
        <f t="shared" si="12"/>
        <v>0</v>
      </c>
      <c r="F19" s="1001">
        <f t="shared" si="12"/>
        <v>619345</v>
      </c>
      <c r="G19" s="1001">
        <f t="shared" si="12"/>
        <v>880000</v>
      </c>
      <c r="H19" s="1001">
        <f t="shared" si="12"/>
        <v>2294086</v>
      </c>
      <c r="I19" s="1566">
        <f>SUM(I20:I21)</f>
        <v>1361885</v>
      </c>
      <c r="J19" s="1572">
        <f t="shared" si="8"/>
        <v>0.59365036881790834</v>
      </c>
      <c r="K19" s="427"/>
      <c r="L19" s="1001"/>
      <c r="M19" s="1001"/>
      <c r="N19" s="1022">
        <v>0</v>
      </c>
      <c r="O19" s="1022"/>
      <c r="P19" s="1022"/>
      <c r="Q19" s="1000"/>
      <c r="R19" s="1023"/>
      <c r="S19" s="1579"/>
      <c r="T19" s="1575"/>
    </row>
    <row r="20" spans="1:20" s="416" customFormat="1" ht="32.450000000000003" customHeight="1">
      <c r="A20" s="429" t="s">
        <v>471</v>
      </c>
      <c r="B20" s="1011">
        <v>45400</v>
      </c>
      <c r="C20" s="1011">
        <v>0</v>
      </c>
      <c r="D20" s="999">
        <f>'5'!C155</f>
        <v>489345</v>
      </c>
      <c r="E20" s="999">
        <f>'5'!D155</f>
        <v>0</v>
      </c>
      <c r="F20" s="999">
        <f>D20+E20</f>
        <v>489345</v>
      </c>
      <c r="G20" s="999">
        <f>'5'!F155</f>
        <v>880000</v>
      </c>
      <c r="H20" s="999">
        <v>2164086</v>
      </c>
      <c r="I20" s="999">
        <f>'5'!L155</f>
        <v>1361885</v>
      </c>
      <c r="J20" s="1572">
        <f t="shared" si="8"/>
        <v>0.62931186653395477</v>
      </c>
      <c r="K20" s="424"/>
      <c r="L20" s="999"/>
      <c r="M20" s="999"/>
      <c r="N20" s="1024">
        <v>0</v>
      </c>
      <c r="O20" s="999"/>
      <c r="P20" s="1024"/>
      <c r="Q20" s="999"/>
      <c r="R20" s="1024"/>
      <c r="S20" s="1577"/>
      <c r="T20" s="1572"/>
    </row>
    <row r="21" spans="1:20" s="416" customFormat="1" ht="32.450000000000003" customHeight="1" thickBot="1">
      <c r="A21" s="430" t="s">
        <v>171</v>
      </c>
      <c r="B21" s="1013">
        <v>294036</v>
      </c>
      <c r="C21" s="1013">
        <v>72000</v>
      </c>
      <c r="D21" s="1002">
        <f>'5'!C154</f>
        <v>130000</v>
      </c>
      <c r="E21" s="1002">
        <f>'5'!D154</f>
        <v>0</v>
      </c>
      <c r="F21" s="1002">
        <f>D21+E21</f>
        <v>130000</v>
      </c>
      <c r="G21" s="1002">
        <f>'5'!F154</f>
        <v>0</v>
      </c>
      <c r="H21" s="1002">
        <f>F21+G21</f>
        <v>130000</v>
      </c>
      <c r="I21" s="1002">
        <f>'5'!L154</f>
        <v>0</v>
      </c>
      <c r="J21" s="1572">
        <f t="shared" si="8"/>
        <v>0</v>
      </c>
      <c r="K21" s="998"/>
      <c r="L21" s="1002"/>
      <c r="M21" s="1002"/>
      <c r="N21" s="1025">
        <v>0</v>
      </c>
      <c r="O21" s="1002"/>
      <c r="P21" s="1025"/>
      <c r="Q21" s="999"/>
      <c r="R21" s="1570"/>
      <c r="S21" s="1577"/>
      <c r="T21" s="1572"/>
    </row>
    <row r="22" spans="1:20" s="416" customFormat="1" ht="32.450000000000003" customHeight="1" thickBot="1">
      <c r="A22" s="431" t="s">
        <v>58</v>
      </c>
      <c r="B22" s="1003">
        <f t="shared" ref="B22:I22" si="13">B18+B19</f>
        <v>9476257</v>
      </c>
      <c r="C22" s="1003">
        <f t="shared" si="13"/>
        <v>4736159</v>
      </c>
      <c r="D22" s="1003">
        <f t="shared" si="13"/>
        <v>4549167</v>
      </c>
      <c r="E22" s="1003">
        <f t="shared" si="13"/>
        <v>709601</v>
      </c>
      <c r="F22" s="1003">
        <f t="shared" si="13"/>
        <v>5258768</v>
      </c>
      <c r="G22" s="1003">
        <f t="shared" si="13"/>
        <v>1287860</v>
      </c>
      <c r="H22" s="1003">
        <f t="shared" si="13"/>
        <v>7544890</v>
      </c>
      <c r="I22" s="1003">
        <f t="shared" si="13"/>
        <v>5863628</v>
      </c>
      <c r="J22" s="1587">
        <f t="shared" si="8"/>
        <v>0.77716547226003296</v>
      </c>
      <c r="K22" s="431" t="s">
        <v>59</v>
      </c>
      <c r="L22" s="1003">
        <f t="shared" ref="L22:T22" si="14">L18+L19</f>
        <v>8995184</v>
      </c>
      <c r="M22" s="1003">
        <f t="shared" si="14"/>
        <v>4730383</v>
      </c>
      <c r="N22" s="1004">
        <f t="shared" si="14"/>
        <v>4549167</v>
      </c>
      <c r="O22" s="1004" t="e">
        <f t="shared" si="14"/>
        <v>#REF!</v>
      </c>
      <c r="P22" s="1004" t="e">
        <f t="shared" si="14"/>
        <v>#REF!</v>
      </c>
      <c r="Q22" s="1004" t="e">
        <f t="shared" si="14"/>
        <v>#REF!</v>
      </c>
      <c r="R22" s="1004">
        <f t="shared" si="14"/>
        <v>7544890</v>
      </c>
      <c r="S22" s="1004">
        <f t="shared" si="14"/>
        <v>4720013</v>
      </c>
      <c r="T22" s="1576">
        <f t="shared" si="14"/>
        <v>0.62559069781004095</v>
      </c>
    </row>
    <row r="23" spans="1:20" s="421" customFormat="1" ht="32.450000000000003" customHeight="1" thickBot="1">
      <c r="A23" s="432" t="s">
        <v>129</v>
      </c>
      <c r="B23" s="1014">
        <f t="shared" ref="B23:I23" si="15">+B14-L14</f>
        <v>-648606</v>
      </c>
      <c r="C23" s="1015">
        <f t="shared" si="15"/>
        <v>312594</v>
      </c>
      <c r="D23" s="1016">
        <f t="shared" si="15"/>
        <v>-1416545</v>
      </c>
      <c r="E23" s="1016" t="e">
        <f t="shared" si="15"/>
        <v>#REF!</v>
      </c>
      <c r="F23" s="1015" t="e">
        <f t="shared" si="15"/>
        <v>#REF!</v>
      </c>
      <c r="G23" s="1015" t="e">
        <f t="shared" si="15"/>
        <v>#REF!</v>
      </c>
      <c r="H23" s="1016">
        <f t="shared" si="15"/>
        <v>-1076057</v>
      </c>
      <c r="I23" s="1016">
        <f t="shared" si="15"/>
        <v>455847</v>
      </c>
      <c r="J23" s="1588"/>
      <c r="K23" s="1567"/>
      <c r="L23" s="1221"/>
      <c r="M23" s="1221"/>
      <c r="N23" s="1221"/>
      <c r="O23" s="1221"/>
      <c r="P23" s="1221"/>
      <c r="Q23" s="1221"/>
      <c r="R23" s="1221"/>
    </row>
    <row r="24" spans="1:20">
      <c r="A24" s="325"/>
      <c r="B24" s="325"/>
      <c r="C24" s="325"/>
      <c r="K24" s="327"/>
      <c r="L24" s="327"/>
      <c r="M24" s="327"/>
    </row>
    <row r="33" spans="1:10">
      <c r="A33" s="324"/>
      <c r="B33" s="324"/>
      <c r="C33" s="324"/>
      <c r="D33" s="324"/>
      <c r="E33" s="324"/>
      <c r="F33" s="324"/>
      <c r="G33" s="324"/>
      <c r="H33" s="324"/>
      <c r="I33" s="324"/>
      <c r="J33" s="324"/>
    </row>
    <row r="34" spans="1:10">
      <c r="A34" s="324"/>
      <c r="B34" s="324"/>
      <c r="C34" s="324"/>
      <c r="D34" s="324"/>
      <c r="E34" s="324"/>
      <c r="F34" s="324"/>
      <c r="G34" s="324"/>
      <c r="H34" s="324"/>
      <c r="I34" s="324"/>
      <c r="J34" s="324"/>
    </row>
    <row r="35" spans="1:10">
      <c r="A35" s="324"/>
      <c r="B35" s="324"/>
      <c r="C35" s="324"/>
      <c r="D35" s="324"/>
      <c r="E35" s="324"/>
      <c r="F35" s="324"/>
      <c r="G35" s="324"/>
      <c r="H35" s="324"/>
      <c r="I35" s="324"/>
      <c r="J35" s="324"/>
    </row>
    <row r="36" spans="1:10">
      <c r="A36" s="324"/>
      <c r="B36" s="324"/>
      <c r="C36" s="324"/>
      <c r="D36" s="324"/>
      <c r="E36" s="324"/>
      <c r="F36" s="324"/>
      <c r="G36" s="324"/>
      <c r="H36" s="324"/>
      <c r="I36" s="324"/>
      <c r="J36" s="324"/>
    </row>
    <row r="38" spans="1:10">
      <c r="A38" s="324"/>
      <c r="B38" s="324"/>
      <c r="C38" s="324"/>
      <c r="D38" s="324"/>
      <c r="E38" s="324"/>
      <c r="F38" s="324"/>
      <c r="G38" s="324"/>
      <c r="H38" s="324"/>
      <c r="I38" s="324"/>
      <c r="J38" s="324"/>
    </row>
  </sheetData>
  <mergeCells count="1">
    <mergeCell ref="A1:T1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65" orientation="landscape" r:id="rId1"/>
  <headerFooter>
    <oddHeader>&amp;L&amp;"Arial,Dőlt"&amp;U1. sz. táblázat</oddHeader>
    <oddFooter>&amp;CNagykőrös Város Önkormányzat 2014. évi zárszámadási rendelete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0"/>
  </sheetPr>
  <dimension ref="A1:P30"/>
  <sheetViews>
    <sheetView view="pageLayout" zoomScaleNormal="100" zoomScaleSheetLayoutView="70" workbookViewId="0">
      <selection activeCell="C5" sqref="C5"/>
    </sheetView>
  </sheetViews>
  <sheetFormatPr defaultColWidth="9.140625" defaultRowHeight="15"/>
  <cols>
    <col min="1" max="1" width="33.7109375" style="333" customWidth="1"/>
    <col min="2" max="2" width="12.7109375" style="62" customWidth="1"/>
    <col min="3" max="8" width="11.7109375" style="62" customWidth="1"/>
    <col min="9" max="10" width="13.85546875" style="62" bestFit="1" customWidth="1"/>
    <col min="11" max="11" width="14.28515625" style="62" bestFit="1" customWidth="1"/>
    <col min="12" max="14" width="13.85546875" style="62" bestFit="1" customWidth="1"/>
    <col min="15" max="15" width="12.7109375" style="62" customWidth="1"/>
    <col min="16" max="16" width="11.5703125" style="62" customWidth="1"/>
    <col min="17" max="16384" width="9.140625" style="62"/>
  </cols>
  <sheetData>
    <row r="1" spans="1:16" ht="15.75">
      <c r="A1" s="1996" t="s">
        <v>562</v>
      </c>
      <c r="B1" s="1996"/>
      <c r="C1" s="1996"/>
      <c r="D1" s="1996"/>
      <c r="E1" s="1996"/>
      <c r="F1" s="1996"/>
      <c r="G1" s="1996"/>
      <c r="H1" s="1996"/>
      <c r="I1" s="1996"/>
      <c r="J1" s="1996"/>
      <c r="K1" s="1996"/>
      <c r="L1" s="1996"/>
      <c r="M1" s="1996"/>
      <c r="N1" s="1996"/>
      <c r="O1" s="1996"/>
    </row>
    <row r="2" spans="1:16" ht="6" customHeight="1" thickBot="1"/>
    <row r="3" spans="1:16" s="330" customFormat="1" ht="29.25" customHeight="1" thickBot="1">
      <c r="A3" s="334"/>
      <c r="B3" s="331" t="s">
        <v>199</v>
      </c>
      <c r="C3" s="331" t="s">
        <v>200</v>
      </c>
      <c r="D3" s="331" t="s">
        <v>201</v>
      </c>
      <c r="E3" s="331" t="s">
        <v>202</v>
      </c>
      <c r="F3" s="331" t="s">
        <v>203</v>
      </c>
      <c r="G3" s="331" t="s">
        <v>204</v>
      </c>
      <c r="H3" s="331" t="s">
        <v>205</v>
      </c>
      <c r="I3" s="331" t="s">
        <v>206</v>
      </c>
      <c r="J3" s="331" t="s">
        <v>207</v>
      </c>
      <c r="K3" s="331" t="s">
        <v>208</v>
      </c>
      <c r="L3" s="331" t="s">
        <v>209</v>
      </c>
      <c r="M3" s="331" t="s">
        <v>210</v>
      </c>
      <c r="N3" s="331" t="s">
        <v>211</v>
      </c>
      <c r="O3" s="332" t="s">
        <v>476</v>
      </c>
    </row>
    <row r="4" spans="1:16" s="433" customFormat="1" ht="27" customHeight="1">
      <c r="A4" s="1990" t="s">
        <v>212</v>
      </c>
      <c r="B4" s="1991"/>
      <c r="C4" s="1991"/>
      <c r="D4" s="1991"/>
      <c r="E4" s="1991"/>
      <c r="F4" s="1991"/>
      <c r="G4" s="1991"/>
      <c r="H4" s="1991"/>
      <c r="I4" s="1991"/>
      <c r="J4" s="1991"/>
      <c r="K4" s="1991"/>
      <c r="L4" s="1991"/>
      <c r="M4" s="1991"/>
      <c r="N4" s="1991"/>
      <c r="O4" s="1992"/>
    </row>
    <row r="5" spans="1:16" s="433" customFormat="1" ht="36" customHeight="1">
      <c r="A5" s="451" t="s">
        <v>366</v>
      </c>
      <c r="B5" s="437">
        <f>'2'!B5</f>
        <v>1299158</v>
      </c>
      <c r="C5" s="438">
        <f>$B5/14</f>
        <v>92797</v>
      </c>
      <c r="D5" s="438">
        <f t="shared" ref="D5:M5" si="0">$B5/14</f>
        <v>92797</v>
      </c>
      <c r="E5" s="438">
        <f>$B5/14*2</f>
        <v>185594</v>
      </c>
      <c r="F5" s="438">
        <f t="shared" si="0"/>
        <v>92797</v>
      </c>
      <c r="G5" s="438">
        <f t="shared" si="0"/>
        <v>92797</v>
      </c>
      <c r="H5" s="438">
        <f t="shared" si="0"/>
        <v>92797</v>
      </c>
      <c r="I5" s="438">
        <f>$B5/14+'2'!D5</f>
        <v>164284</v>
      </c>
      <c r="J5" s="438">
        <f t="shared" si="0"/>
        <v>92797</v>
      </c>
      <c r="K5" s="438">
        <f>$B5/14*2</f>
        <v>185594</v>
      </c>
      <c r="L5" s="438">
        <f t="shared" si="0"/>
        <v>92797</v>
      </c>
      <c r="M5" s="438">
        <f t="shared" si="0"/>
        <v>92797</v>
      </c>
      <c r="N5" s="438">
        <v>383049</v>
      </c>
      <c r="O5" s="439">
        <f t="shared" ref="O5:O15" si="1">SUM(C5:N5)</f>
        <v>1660897</v>
      </c>
      <c r="P5" s="434">
        <f>B5-O5</f>
        <v>-361739</v>
      </c>
    </row>
    <row r="6" spans="1:16" s="433" customFormat="1" ht="25.15" customHeight="1">
      <c r="A6" s="451" t="s">
        <v>376</v>
      </c>
      <c r="B6" s="437">
        <f>'2'!B6</f>
        <v>866650</v>
      </c>
      <c r="C6" s="438">
        <f>$B6/13*2</f>
        <v>133330.76923076922</v>
      </c>
      <c r="D6" s="438">
        <f t="shared" ref="D6:M7" si="2">$B6/13</f>
        <v>66665.38461538461</v>
      </c>
      <c r="E6" s="438">
        <f t="shared" si="2"/>
        <v>66665.38461538461</v>
      </c>
      <c r="F6" s="438">
        <f t="shared" si="2"/>
        <v>66665.38461538461</v>
      </c>
      <c r="G6" s="438">
        <f t="shared" si="2"/>
        <v>66665.38461538461</v>
      </c>
      <c r="H6" s="438">
        <f t="shared" si="2"/>
        <v>66665.38461538461</v>
      </c>
      <c r="I6" s="438">
        <f>$B6/13+'2'!D6</f>
        <v>67465.38461538461</v>
      </c>
      <c r="J6" s="438">
        <f t="shared" si="2"/>
        <v>66665.38461538461</v>
      </c>
      <c r="K6" s="438">
        <f t="shared" si="2"/>
        <v>66665.38461538461</v>
      </c>
      <c r="L6" s="438">
        <f t="shared" si="2"/>
        <v>66665.38461538461</v>
      </c>
      <c r="M6" s="438">
        <f t="shared" si="2"/>
        <v>66665.38461538461</v>
      </c>
      <c r="N6" s="438">
        <v>362322</v>
      </c>
      <c r="O6" s="439">
        <f t="shared" si="1"/>
        <v>1163106.6153846155</v>
      </c>
      <c r="P6" s="434">
        <f t="shared" ref="P6:P15" si="3">B6-O6</f>
        <v>-296456.61538461549</v>
      </c>
    </row>
    <row r="7" spans="1:16" s="433" customFormat="1" ht="24" customHeight="1">
      <c r="A7" s="451" t="s">
        <v>47</v>
      </c>
      <c r="B7" s="437">
        <f>'2'!B7</f>
        <v>511758</v>
      </c>
      <c r="C7" s="438">
        <f>$B7/13*2</f>
        <v>78732</v>
      </c>
      <c r="D7" s="438">
        <f t="shared" si="2"/>
        <v>39366</v>
      </c>
      <c r="E7" s="438">
        <f t="shared" si="2"/>
        <v>39366</v>
      </c>
      <c r="F7" s="438">
        <f t="shared" si="2"/>
        <v>39366</v>
      </c>
      <c r="G7" s="438">
        <f t="shared" si="2"/>
        <v>39366</v>
      </c>
      <c r="H7" s="438">
        <f t="shared" si="2"/>
        <v>39366</v>
      </c>
      <c r="I7" s="438">
        <f>$B7/13+'2'!D7</f>
        <v>50873</v>
      </c>
      <c r="J7" s="438">
        <f t="shared" si="2"/>
        <v>39366</v>
      </c>
      <c r="K7" s="438">
        <f t="shared" si="2"/>
        <v>39366</v>
      </c>
      <c r="L7" s="438">
        <f t="shared" si="2"/>
        <v>39366</v>
      </c>
      <c r="M7" s="438">
        <f t="shared" si="2"/>
        <v>39366</v>
      </c>
      <c r="N7" s="438">
        <v>131728</v>
      </c>
      <c r="O7" s="439">
        <f t="shared" si="1"/>
        <v>615627</v>
      </c>
      <c r="P7" s="434">
        <f t="shared" si="3"/>
        <v>-103869</v>
      </c>
    </row>
    <row r="8" spans="1:16" s="433" customFormat="1" ht="32.25" customHeight="1">
      <c r="A8" s="451" t="s">
        <v>378</v>
      </c>
      <c r="B8" s="437">
        <f>'2'!B8</f>
        <v>600</v>
      </c>
      <c r="C8" s="438">
        <v>0</v>
      </c>
      <c r="D8" s="438">
        <v>0</v>
      </c>
      <c r="E8" s="438">
        <f>$B$8/4</f>
        <v>150</v>
      </c>
      <c r="F8" s="438">
        <v>0</v>
      </c>
      <c r="G8" s="438">
        <v>0</v>
      </c>
      <c r="H8" s="438">
        <f>$B$8/4</f>
        <v>150</v>
      </c>
      <c r="I8" s="438">
        <v>4165</v>
      </c>
      <c r="J8" s="438">
        <v>0</v>
      </c>
      <c r="K8" s="438">
        <f>$B$8/4</f>
        <v>150</v>
      </c>
      <c r="L8" s="438">
        <v>0</v>
      </c>
      <c r="M8" s="438">
        <v>0</v>
      </c>
      <c r="N8" s="438">
        <v>150</v>
      </c>
      <c r="O8" s="439">
        <f t="shared" si="1"/>
        <v>4765</v>
      </c>
      <c r="P8" s="434">
        <f t="shared" si="3"/>
        <v>-4165</v>
      </c>
    </row>
    <row r="9" spans="1:16" s="433" customFormat="1" ht="33" customHeight="1">
      <c r="A9" s="451" t="s">
        <v>367</v>
      </c>
      <c r="B9" s="437">
        <f>'2'!B11</f>
        <v>417106</v>
      </c>
      <c r="C9" s="438">
        <v>0</v>
      </c>
      <c r="D9" s="438">
        <v>0</v>
      </c>
      <c r="E9" s="438">
        <f>$B9/10</f>
        <v>41710.6</v>
      </c>
      <c r="F9" s="438">
        <f t="shared" ref="F9:M9" si="4">$B9/10</f>
        <v>41710.6</v>
      </c>
      <c r="G9" s="438">
        <f t="shared" si="4"/>
        <v>41710.6</v>
      </c>
      <c r="H9" s="438">
        <f t="shared" si="4"/>
        <v>41710.6</v>
      </c>
      <c r="I9" s="438">
        <f>$B9/10+'2'!D11</f>
        <v>502764.6</v>
      </c>
      <c r="J9" s="438">
        <f t="shared" si="4"/>
        <v>41710.6</v>
      </c>
      <c r="K9" s="438">
        <f t="shared" si="4"/>
        <v>41710.6</v>
      </c>
      <c r="L9" s="438">
        <f t="shared" si="4"/>
        <v>41710.6</v>
      </c>
      <c r="M9" s="438">
        <f t="shared" si="4"/>
        <v>41710.6</v>
      </c>
      <c r="N9" s="438">
        <v>2124</v>
      </c>
      <c r="O9" s="439">
        <f t="shared" si="1"/>
        <v>838573.39999999991</v>
      </c>
      <c r="P9" s="434">
        <f t="shared" si="3"/>
        <v>-421467.39999999991</v>
      </c>
    </row>
    <row r="10" spans="1:16" s="433" customFormat="1" ht="25.15" customHeight="1">
      <c r="A10" s="451" t="s">
        <v>377</v>
      </c>
      <c r="B10" s="437">
        <f>'2'!B12</f>
        <v>0</v>
      </c>
      <c r="C10" s="438"/>
      <c r="D10" s="438"/>
      <c r="E10" s="438">
        <v>0</v>
      </c>
      <c r="F10" s="438"/>
      <c r="G10" s="438"/>
      <c r="H10" s="438">
        <f>$B$10/3</f>
        <v>0</v>
      </c>
      <c r="I10" s="438">
        <f>'2'!D12</f>
        <v>167</v>
      </c>
      <c r="J10" s="438"/>
      <c r="K10" s="438">
        <f>$B$10/3</f>
        <v>0</v>
      </c>
      <c r="L10" s="438"/>
      <c r="M10" s="438"/>
      <c r="N10" s="438">
        <v>10913</v>
      </c>
      <c r="O10" s="439">
        <f t="shared" si="1"/>
        <v>11080</v>
      </c>
      <c r="P10" s="434">
        <f t="shared" si="3"/>
        <v>-11080</v>
      </c>
    </row>
    <row r="11" spans="1:16" s="433" customFormat="1" ht="33" customHeight="1">
      <c r="A11" s="451" t="s">
        <v>379</v>
      </c>
      <c r="B11" s="437">
        <f>'2'!B13</f>
        <v>37350</v>
      </c>
      <c r="C11" s="438">
        <v>3113</v>
      </c>
      <c r="D11" s="438">
        <v>3113</v>
      </c>
      <c r="E11" s="438">
        <v>3113</v>
      </c>
      <c r="F11" s="438">
        <v>3113</v>
      </c>
      <c r="G11" s="438">
        <v>3113</v>
      </c>
      <c r="H11" s="438">
        <v>3113</v>
      </c>
      <c r="I11" s="438">
        <f>3113+'2'!D13</f>
        <v>3113</v>
      </c>
      <c r="J11" s="438">
        <v>3113</v>
      </c>
      <c r="K11" s="438">
        <v>3113</v>
      </c>
      <c r="L11" s="438">
        <v>3113</v>
      </c>
      <c r="M11" s="438">
        <v>3113</v>
      </c>
      <c r="N11" s="438">
        <v>4746</v>
      </c>
      <c r="O11" s="439">
        <f t="shared" si="1"/>
        <v>38989</v>
      </c>
      <c r="P11" s="434">
        <f t="shared" si="3"/>
        <v>-1639</v>
      </c>
    </row>
    <row r="12" spans="1:16" s="433" customFormat="1" ht="33" customHeight="1">
      <c r="A12" s="452" t="s">
        <v>51</v>
      </c>
      <c r="B12" s="437">
        <v>110200</v>
      </c>
      <c r="C12" s="438">
        <v>0</v>
      </c>
      <c r="D12" s="438">
        <v>0</v>
      </c>
      <c r="E12" s="438" t="s">
        <v>98</v>
      </c>
      <c r="F12" s="438">
        <v>10000</v>
      </c>
      <c r="G12" s="438">
        <v>15000</v>
      </c>
      <c r="H12" s="438">
        <v>10000</v>
      </c>
      <c r="I12" s="438">
        <v>20000</v>
      </c>
      <c r="J12" s="438">
        <v>10000</v>
      </c>
      <c r="K12" s="438">
        <v>20000</v>
      </c>
      <c r="L12" s="438">
        <v>20000</v>
      </c>
      <c r="M12" s="438">
        <v>20000</v>
      </c>
      <c r="N12" s="438">
        <v>57906</v>
      </c>
      <c r="O12" s="439">
        <f>SUM(C12:N12)</f>
        <v>182906</v>
      </c>
      <c r="P12" s="434">
        <f t="shared" si="3"/>
        <v>-72706</v>
      </c>
    </row>
    <row r="13" spans="1:16" s="433" customFormat="1" ht="34.15" customHeight="1">
      <c r="A13" s="452" t="s">
        <v>55</v>
      </c>
      <c r="B13" s="437">
        <v>687000</v>
      </c>
      <c r="C13" s="438">
        <v>0</v>
      </c>
      <c r="D13" s="438">
        <v>66000</v>
      </c>
      <c r="E13" s="438">
        <v>0</v>
      </c>
      <c r="F13" s="438">
        <v>20000</v>
      </c>
      <c r="G13" s="438">
        <v>0</v>
      </c>
      <c r="H13" s="438">
        <v>0</v>
      </c>
      <c r="I13" s="438">
        <v>100000</v>
      </c>
      <c r="J13" s="438">
        <v>0</v>
      </c>
      <c r="K13" s="438">
        <v>254000</v>
      </c>
      <c r="L13" s="438">
        <v>220000</v>
      </c>
      <c r="M13" s="438">
        <v>67000</v>
      </c>
      <c r="N13" s="438">
        <v>7860</v>
      </c>
      <c r="O13" s="439">
        <f>SUM(C13:N13)</f>
        <v>734860</v>
      </c>
      <c r="P13" s="434">
        <f t="shared" si="3"/>
        <v>-47860</v>
      </c>
    </row>
    <row r="14" spans="1:16" s="433" customFormat="1" ht="25.15" customHeight="1">
      <c r="A14" s="453" t="s">
        <v>471</v>
      </c>
      <c r="B14" s="438">
        <f>'2'!B18</f>
        <v>489345</v>
      </c>
      <c r="C14" s="438">
        <v>0</v>
      </c>
      <c r="D14" s="438">
        <v>0</v>
      </c>
      <c r="E14" s="438">
        <v>0</v>
      </c>
      <c r="F14" s="438">
        <v>0</v>
      </c>
      <c r="G14" s="438">
        <v>0</v>
      </c>
      <c r="H14" s="438">
        <v>0</v>
      </c>
      <c r="I14" s="438">
        <f>'2'!D18</f>
        <v>0</v>
      </c>
      <c r="J14" s="438">
        <v>200000</v>
      </c>
      <c r="K14" s="438">
        <v>0</v>
      </c>
      <c r="L14" s="438">
        <v>0</v>
      </c>
      <c r="M14" s="438">
        <v>150000</v>
      </c>
      <c r="N14" s="438">
        <v>1814086</v>
      </c>
      <c r="O14" s="439">
        <f>SUM(C14:N14)</f>
        <v>2164086</v>
      </c>
      <c r="P14" s="434">
        <f t="shared" si="3"/>
        <v>-1674741</v>
      </c>
    </row>
    <row r="15" spans="1:16" s="433" customFormat="1" ht="35.450000000000003" customHeight="1" thickBot="1">
      <c r="A15" s="452" t="s">
        <v>171</v>
      </c>
      <c r="B15" s="438">
        <f>'2'!B19</f>
        <v>130000</v>
      </c>
      <c r="C15" s="440">
        <v>0</v>
      </c>
      <c r="D15" s="440">
        <v>0</v>
      </c>
      <c r="E15" s="440">
        <v>0</v>
      </c>
      <c r="F15" s="440">
        <v>0</v>
      </c>
      <c r="G15" s="440">
        <v>0</v>
      </c>
      <c r="H15" s="440">
        <v>0</v>
      </c>
      <c r="I15" s="440">
        <v>0</v>
      </c>
      <c r="J15" s="440">
        <v>0</v>
      </c>
      <c r="K15" s="440">
        <v>0</v>
      </c>
      <c r="L15" s="440">
        <v>130000</v>
      </c>
      <c r="M15" s="440">
        <v>0</v>
      </c>
      <c r="N15" s="440">
        <v>0</v>
      </c>
      <c r="O15" s="441">
        <f t="shared" si="1"/>
        <v>130000</v>
      </c>
      <c r="P15" s="434">
        <f t="shared" si="3"/>
        <v>0</v>
      </c>
    </row>
    <row r="16" spans="1:16" s="433" customFormat="1" ht="29.45" customHeight="1" thickBot="1">
      <c r="A16" s="435" t="s">
        <v>176</v>
      </c>
      <c r="B16" s="442">
        <f>SUM(B5:B15)</f>
        <v>4549167</v>
      </c>
      <c r="C16" s="442">
        <f t="shared" ref="C16:N16" si="5">SUM(C5:C15)</f>
        <v>307972.76923076925</v>
      </c>
      <c r="D16" s="442">
        <f t="shared" si="5"/>
        <v>267941.38461538462</v>
      </c>
      <c r="E16" s="442">
        <f t="shared" si="5"/>
        <v>336598.9846153846</v>
      </c>
      <c r="F16" s="442">
        <f t="shared" si="5"/>
        <v>273651.9846153846</v>
      </c>
      <c r="G16" s="442">
        <f t="shared" si="5"/>
        <v>258651.98461538463</v>
      </c>
      <c r="H16" s="442">
        <f t="shared" si="5"/>
        <v>253801.98461538463</v>
      </c>
      <c r="I16" s="442">
        <f t="shared" si="5"/>
        <v>912831.9846153846</v>
      </c>
      <c r="J16" s="442">
        <f t="shared" si="5"/>
        <v>453651.9846153846</v>
      </c>
      <c r="K16" s="442">
        <f t="shared" si="5"/>
        <v>610598.9846153846</v>
      </c>
      <c r="L16" s="442">
        <f t="shared" si="5"/>
        <v>613651.9846153846</v>
      </c>
      <c r="M16" s="442">
        <f t="shared" si="5"/>
        <v>480651.9846153846</v>
      </c>
      <c r="N16" s="442">
        <f t="shared" si="5"/>
        <v>2774884</v>
      </c>
      <c r="O16" s="443">
        <f>SUM(O5:O15)</f>
        <v>7544890.0153846154</v>
      </c>
    </row>
    <row r="17" spans="1:16" s="433" customFormat="1" ht="21.75" customHeight="1">
      <c r="A17" s="1993" t="s">
        <v>213</v>
      </c>
      <c r="B17" s="1994"/>
      <c r="C17" s="1994"/>
      <c r="D17" s="1994"/>
      <c r="E17" s="1994"/>
      <c r="F17" s="1994"/>
      <c r="G17" s="1994"/>
      <c r="H17" s="1994"/>
      <c r="I17" s="1994"/>
      <c r="J17" s="1994"/>
      <c r="K17" s="1994"/>
      <c r="L17" s="1994"/>
      <c r="M17" s="1994"/>
      <c r="N17" s="1994"/>
      <c r="O17" s="1995"/>
    </row>
    <row r="18" spans="1:16" s="433" customFormat="1" ht="25.15" customHeight="1">
      <c r="A18" s="454" t="s">
        <v>40</v>
      </c>
      <c r="B18" s="438">
        <f>'2'!O5</f>
        <v>893102</v>
      </c>
      <c r="C18" s="438">
        <f>$B18/12</f>
        <v>74425.166666666672</v>
      </c>
      <c r="D18" s="438">
        <f t="shared" ref="D18:M20" si="6">$B18/12</f>
        <v>74425.166666666672</v>
      </c>
      <c r="E18" s="438">
        <f t="shared" si="6"/>
        <v>74425.166666666672</v>
      </c>
      <c r="F18" s="438">
        <f t="shared" si="6"/>
        <v>74425.166666666672</v>
      </c>
      <c r="G18" s="438">
        <f t="shared" si="6"/>
        <v>74425.166666666672</v>
      </c>
      <c r="H18" s="438">
        <f t="shared" si="6"/>
        <v>74425.166666666672</v>
      </c>
      <c r="I18" s="438">
        <f>$B18/12+'2'!Q5</f>
        <v>164078.16666666669</v>
      </c>
      <c r="J18" s="438">
        <f t="shared" si="6"/>
        <v>74425.166666666672</v>
      </c>
      <c r="K18" s="438">
        <f t="shared" si="6"/>
        <v>74425.166666666672</v>
      </c>
      <c r="L18" s="438">
        <f t="shared" si="6"/>
        <v>74425.166666666672</v>
      </c>
      <c r="M18" s="438">
        <f t="shared" si="6"/>
        <v>74425.166666666672</v>
      </c>
      <c r="N18" s="438">
        <v>195025</v>
      </c>
      <c r="O18" s="439">
        <f>SUM(C18:N18)</f>
        <v>1103354.8333333333</v>
      </c>
      <c r="P18" s="434">
        <f t="shared" ref="P18:P25" si="7">B18-O18</f>
        <v>-210252.83333333326</v>
      </c>
    </row>
    <row r="19" spans="1:16" s="433" customFormat="1" ht="35.450000000000003" customHeight="1">
      <c r="A19" s="454" t="s">
        <v>303</v>
      </c>
      <c r="B19" s="438">
        <f>'2'!O6</f>
        <v>256331</v>
      </c>
      <c r="C19" s="438">
        <f>$B19/12</f>
        <v>21360.916666666668</v>
      </c>
      <c r="D19" s="438">
        <f t="shared" si="6"/>
        <v>21360.916666666668</v>
      </c>
      <c r="E19" s="438">
        <f t="shared" si="6"/>
        <v>21360.916666666668</v>
      </c>
      <c r="F19" s="438">
        <f t="shared" si="6"/>
        <v>21360.916666666668</v>
      </c>
      <c r="G19" s="438">
        <f t="shared" si="6"/>
        <v>21360.916666666668</v>
      </c>
      <c r="H19" s="438">
        <f t="shared" si="6"/>
        <v>21360.916666666668</v>
      </c>
      <c r="I19" s="438">
        <f>$B19/12+'2'!Q6</f>
        <v>41568.916666666672</v>
      </c>
      <c r="J19" s="438">
        <f t="shared" si="6"/>
        <v>21360.916666666668</v>
      </c>
      <c r="K19" s="438">
        <f t="shared" si="6"/>
        <v>21360.916666666668</v>
      </c>
      <c r="L19" s="438">
        <f t="shared" si="6"/>
        <v>21360.916666666668</v>
      </c>
      <c r="M19" s="438">
        <f t="shared" si="6"/>
        <v>21360.916666666668</v>
      </c>
      <c r="N19" s="438">
        <v>37337</v>
      </c>
      <c r="O19" s="439">
        <f t="shared" ref="O19:O25" si="8">SUM(C19:N19)</f>
        <v>292515.08333333331</v>
      </c>
      <c r="P19" s="434">
        <f t="shared" si="7"/>
        <v>-36184.083333333314</v>
      </c>
    </row>
    <row r="20" spans="1:16" s="433" customFormat="1" ht="25.15" customHeight="1">
      <c r="A20" s="454" t="s">
        <v>132</v>
      </c>
      <c r="B20" s="438">
        <f>'2'!O7</f>
        <v>880050</v>
      </c>
      <c r="C20" s="438">
        <f>$B20/12</f>
        <v>73337.5</v>
      </c>
      <c r="D20" s="438">
        <f t="shared" si="6"/>
        <v>73337.5</v>
      </c>
      <c r="E20" s="438">
        <f t="shared" si="6"/>
        <v>73337.5</v>
      </c>
      <c r="F20" s="438">
        <f t="shared" si="6"/>
        <v>73337.5</v>
      </c>
      <c r="G20" s="438">
        <f t="shared" si="6"/>
        <v>73337.5</v>
      </c>
      <c r="H20" s="438">
        <f t="shared" si="6"/>
        <v>73337.5</v>
      </c>
      <c r="I20" s="438">
        <f>$B20/12+'2'!Q7</f>
        <v>134006.5</v>
      </c>
      <c r="J20" s="438">
        <f t="shared" si="6"/>
        <v>73337.5</v>
      </c>
      <c r="K20" s="438">
        <f t="shared" si="6"/>
        <v>73337.5</v>
      </c>
      <c r="L20" s="438">
        <f t="shared" si="6"/>
        <v>73337.5</v>
      </c>
      <c r="M20" s="438">
        <f t="shared" si="6"/>
        <v>73337.5</v>
      </c>
      <c r="N20" s="438">
        <v>284862</v>
      </c>
      <c r="O20" s="439">
        <f t="shared" si="8"/>
        <v>1152243.5</v>
      </c>
      <c r="P20" s="434">
        <f t="shared" si="7"/>
        <v>-272193.5</v>
      </c>
    </row>
    <row r="21" spans="1:16" s="433" customFormat="1" ht="25.15" customHeight="1">
      <c r="A21" s="454" t="s">
        <v>42</v>
      </c>
      <c r="B21" s="438">
        <f>'2'!O8</f>
        <v>433600</v>
      </c>
      <c r="C21" s="438">
        <v>35000</v>
      </c>
      <c r="D21" s="438">
        <v>35000</v>
      </c>
      <c r="E21" s="438">
        <v>35000</v>
      </c>
      <c r="F21" s="438">
        <v>35000</v>
      </c>
      <c r="G21" s="438">
        <v>35000</v>
      </c>
      <c r="H21" s="438">
        <v>35000</v>
      </c>
      <c r="I21" s="438">
        <f>35000+'2'!Q8</f>
        <v>35000</v>
      </c>
      <c r="J21" s="438">
        <v>40000</v>
      </c>
      <c r="K21" s="438">
        <v>35000</v>
      </c>
      <c r="L21" s="438">
        <v>35000</v>
      </c>
      <c r="M21" s="438">
        <v>40000</v>
      </c>
      <c r="N21" s="438">
        <v>44176</v>
      </c>
      <c r="O21" s="439">
        <f t="shared" si="8"/>
        <v>439176</v>
      </c>
      <c r="P21" s="434">
        <f t="shared" si="7"/>
        <v>-5576</v>
      </c>
    </row>
    <row r="22" spans="1:16" s="433" customFormat="1" ht="25.15" customHeight="1">
      <c r="A22" s="454" t="s">
        <v>361</v>
      </c>
      <c r="B22" s="438">
        <f>'2'!O9</f>
        <v>232200</v>
      </c>
      <c r="C22" s="438">
        <v>0</v>
      </c>
      <c r="D22" s="438">
        <v>0</v>
      </c>
      <c r="E22" s="438">
        <v>0</v>
      </c>
      <c r="F22" s="438">
        <v>54350</v>
      </c>
      <c r="G22" s="438"/>
      <c r="H22" s="438"/>
      <c r="I22" s="438"/>
      <c r="J22" s="438">
        <f>20000-8550</f>
        <v>11450</v>
      </c>
      <c r="K22" s="438">
        <v>30000</v>
      </c>
      <c r="L22" s="438">
        <v>26000</v>
      </c>
      <c r="M22" s="438">
        <v>25000</v>
      </c>
      <c r="N22" s="438">
        <v>223479</v>
      </c>
      <c r="O22" s="439">
        <f t="shared" si="8"/>
        <v>370279</v>
      </c>
      <c r="P22" s="434">
        <f t="shared" si="7"/>
        <v>-138079</v>
      </c>
    </row>
    <row r="23" spans="1:16" s="433" customFormat="1" ht="25.15" customHeight="1">
      <c r="A23" s="454" t="s">
        <v>363</v>
      </c>
      <c r="B23" s="444">
        <f>'2'!O11</f>
        <v>1733104</v>
      </c>
      <c r="C23" s="438">
        <v>0</v>
      </c>
      <c r="D23" s="438">
        <v>66000</v>
      </c>
      <c r="E23" s="438">
        <v>0</v>
      </c>
      <c r="F23" s="438">
        <v>20000</v>
      </c>
      <c r="G23" s="438">
        <v>150000</v>
      </c>
      <c r="H23" s="438">
        <v>100000</v>
      </c>
      <c r="I23" s="438">
        <v>172056</v>
      </c>
      <c r="J23" s="438">
        <v>96000</v>
      </c>
      <c r="K23" s="438">
        <v>370000</v>
      </c>
      <c r="L23" s="438">
        <v>348390</v>
      </c>
      <c r="M23" s="438">
        <v>310000</v>
      </c>
      <c r="N23" s="438">
        <v>232366</v>
      </c>
      <c r="O23" s="439">
        <f t="shared" si="8"/>
        <v>1864812</v>
      </c>
      <c r="P23" s="434">
        <f t="shared" si="7"/>
        <v>-131708</v>
      </c>
    </row>
    <row r="24" spans="1:16" s="433" customFormat="1" ht="25.15" customHeight="1">
      <c r="A24" s="454" t="s">
        <v>54</v>
      </c>
      <c r="B24" s="444">
        <f>'2'!O12</f>
        <v>93480</v>
      </c>
      <c r="C24" s="438">
        <v>0</v>
      </c>
      <c r="D24" s="438">
        <v>0</v>
      </c>
      <c r="E24" s="438">
        <v>0</v>
      </c>
      <c r="F24" s="438">
        <v>0</v>
      </c>
      <c r="G24" s="438">
        <v>10000</v>
      </c>
      <c r="H24" s="438">
        <v>0</v>
      </c>
      <c r="I24" s="438">
        <v>111075</v>
      </c>
      <c r="J24" s="438">
        <v>0</v>
      </c>
      <c r="K24" s="438">
        <v>11780</v>
      </c>
      <c r="L24" s="438">
        <v>40000</v>
      </c>
      <c r="M24" s="438">
        <v>0</v>
      </c>
      <c r="N24" s="438">
        <v>0</v>
      </c>
      <c r="O24" s="439">
        <f t="shared" si="8"/>
        <v>172855</v>
      </c>
      <c r="P24" s="434">
        <f t="shared" si="7"/>
        <v>-79375</v>
      </c>
    </row>
    <row r="25" spans="1:16" s="433" customFormat="1" ht="25.15" customHeight="1">
      <c r="A25" s="454" t="s">
        <v>364</v>
      </c>
      <c r="B25" s="444">
        <f>'2'!O13</f>
        <v>27300</v>
      </c>
      <c r="C25" s="438">
        <v>0</v>
      </c>
      <c r="D25" s="438" t="s">
        <v>98</v>
      </c>
      <c r="E25" s="438">
        <v>0</v>
      </c>
      <c r="F25" s="438">
        <v>0</v>
      </c>
      <c r="G25" s="438">
        <v>0</v>
      </c>
      <c r="H25" s="438">
        <v>0</v>
      </c>
      <c r="I25" s="445"/>
      <c r="J25" s="438">
        <f>27300+'2'!Q13</f>
        <v>13860</v>
      </c>
      <c r="K25" s="438">
        <v>0</v>
      </c>
      <c r="L25" s="438">
        <v>0</v>
      </c>
      <c r="M25" s="438">
        <v>0</v>
      </c>
      <c r="N25" s="438">
        <v>0</v>
      </c>
      <c r="O25" s="439">
        <f t="shared" si="8"/>
        <v>13860</v>
      </c>
      <c r="P25" s="434">
        <f t="shared" si="7"/>
        <v>13440</v>
      </c>
    </row>
    <row r="26" spans="1:16" s="433" customFormat="1" ht="25.15" customHeight="1" thickBot="1">
      <c r="A26" s="454" t="s">
        <v>138</v>
      </c>
      <c r="B26" s="446">
        <f>'2'!O15</f>
        <v>0</v>
      </c>
      <c r="C26" s="447"/>
      <c r="D26" s="447"/>
      <c r="E26" s="446"/>
      <c r="F26" s="448"/>
      <c r="G26" s="447"/>
      <c r="H26" s="447"/>
      <c r="I26" s="446">
        <v>1255795</v>
      </c>
      <c r="J26" s="448"/>
      <c r="K26" s="447"/>
      <c r="L26" s="447"/>
      <c r="M26" s="447"/>
      <c r="N26" s="446">
        <v>880000</v>
      </c>
      <c r="O26" s="439">
        <f>SUM(C26:N26)</f>
        <v>2135795</v>
      </c>
    </row>
    <row r="27" spans="1:16" s="433" customFormat="1" ht="26.25" customHeight="1" thickBot="1">
      <c r="A27" s="435" t="s">
        <v>176</v>
      </c>
      <c r="B27" s="442">
        <f>SUM(B18:B25)</f>
        <v>4549167</v>
      </c>
      <c r="C27" s="442">
        <f>SUM(C18:C26)</f>
        <v>204123.58333333334</v>
      </c>
      <c r="D27" s="442">
        <f t="shared" ref="D27:N27" si="9">SUM(D18:D26)</f>
        <v>270123.58333333337</v>
      </c>
      <c r="E27" s="442">
        <f t="shared" si="9"/>
        <v>204123.58333333334</v>
      </c>
      <c r="F27" s="442">
        <f t="shared" si="9"/>
        <v>278473.58333333337</v>
      </c>
      <c r="G27" s="442">
        <f t="shared" si="9"/>
        <v>364123.58333333337</v>
      </c>
      <c r="H27" s="442">
        <f t="shared" si="9"/>
        <v>304123.58333333337</v>
      </c>
      <c r="I27" s="442">
        <f t="shared" si="9"/>
        <v>1913579.5833333335</v>
      </c>
      <c r="J27" s="442">
        <f t="shared" si="9"/>
        <v>330433.58333333337</v>
      </c>
      <c r="K27" s="442">
        <f t="shared" si="9"/>
        <v>615903.58333333337</v>
      </c>
      <c r="L27" s="442">
        <f t="shared" si="9"/>
        <v>618513.58333333337</v>
      </c>
      <c r="M27" s="442">
        <f t="shared" si="9"/>
        <v>544123.58333333337</v>
      </c>
      <c r="N27" s="442">
        <f t="shared" si="9"/>
        <v>1897245</v>
      </c>
      <c r="O27" s="443">
        <f>SUM(C27:N27)</f>
        <v>7544890.416666667</v>
      </c>
    </row>
    <row r="28" spans="1:16" s="433" customFormat="1" ht="34.5" customHeight="1" thickBot="1">
      <c r="A28" s="436" t="s">
        <v>806</v>
      </c>
      <c r="B28" s="449" t="s">
        <v>98</v>
      </c>
      <c r="C28" s="449">
        <f>C16-C27</f>
        <v>103849.18589743591</v>
      </c>
      <c r="D28" s="449">
        <f t="shared" ref="D28:N28" si="10">C28+D16-D27</f>
        <v>101666.98717948713</v>
      </c>
      <c r="E28" s="449">
        <f t="shared" si="10"/>
        <v>234142.38846153839</v>
      </c>
      <c r="F28" s="449">
        <f t="shared" si="10"/>
        <v>229320.78974358959</v>
      </c>
      <c r="G28" s="449">
        <f t="shared" si="10"/>
        <v>123849.19102564082</v>
      </c>
      <c r="H28" s="449">
        <f t="shared" si="10"/>
        <v>73527.592307692044</v>
      </c>
      <c r="I28" s="449">
        <f t="shared" si="10"/>
        <v>-927220.00641025684</v>
      </c>
      <c r="J28" s="449">
        <f t="shared" si="10"/>
        <v>-804001.60512820561</v>
      </c>
      <c r="K28" s="449">
        <f t="shared" si="10"/>
        <v>-809306.20384615439</v>
      </c>
      <c r="L28" s="449">
        <f t="shared" si="10"/>
        <v>-814167.80256410316</v>
      </c>
      <c r="M28" s="449">
        <f t="shared" si="10"/>
        <v>-877639.40128205193</v>
      </c>
      <c r="N28" s="449">
        <f t="shared" si="10"/>
        <v>-0.40128205204382539</v>
      </c>
      <c r="O28" s="450" t="s">
        <v>98</v>
      </c>
    </row>
    <row r="29" spans="1:16" ht="24.75" customHeight="1">
      <c r="A29" s="333" t="s">
        <v>98</v>
      </c>
      <c r="O29" s="329" t="s">
        <v>98</v>
      </c>
    </row>
    <row r="30" spans="1:16">
      <c r="B30" s="329">
        <f>B27-B16</f>
        <v>0</v>
      </c>
    </row>
  </sheetData>
  <mergeCells count="3">
    <mergeCell ref="A4:O4"/>
    <mergeCell ref="A17:O17"/>
    <mergeCell ref="A1:O1"/>
  </mergeCells>
  <phoneticPr fontId="6" type="noConversion"/>
  <printOptions horizontalCentered="1"/>
  <pageMargins left="0.47244094488188981" right="0.47244094488188981" top="0.6692913385826772" bottom="0.78740157480314965" header="0.31496062992125984" footer="0.31496062992125984"/>
  <pageSetup paperSize="9" scale="65" orientation="landscape" r:id="rId1"/>
  <headerFooter alignWithMargins="0">
    <oddHeader>&amp;L&amp;"Arial,Dőlt"&amp;9&amp;U 18. melléklet a 15/2015. (V.29.) önkormányzati rendelethez*</oddHeader>
    <oddFooter>&amp;L* Áht. 91.§ (2) bekezdés szerint
&amp;CNagykőrös Város Önkormányzat 2014. évi zárszámadási rendelete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A36"/>
  <sheetViews>
    <sheetView view="pageLayout" zoomScale="90" zoomScaleNormal="70" zoomScaleSheetLayoutView="70" zoomScalePageLayoutView="90" workbookViewId="0">
      <selection activeCell="A4" sqref="A4"/>
    </sheetView>
  </sheetViews>
  <sheetFormatPr defaultColWidth="11.7109375" defaultRowHeight="28.5" customHeight="1"/>
  <cols>
    <col min="1" max="1" width="52.42578125" style="45" customWidth="1"/>
    <col min="2" max="2" width="17.28515625" style="42" customWidth="1"/>
    <col min="3" max="3" width="16.140625" style="42" hidden="1" customWidth="1"/>
    <col min="4" max="4" width="16.85546875" style="42" hidden="1" customWidth="1"/>
    <col min="5" max="10" width="18.85546875" style="42" hidden="1" customWidth="1"/>
    <col min="11" max="13" width="18.85546875" style="42" customWidth="1"/>
    <col min="14" max="14" width="45" style="32" customWidth="1"/>
    <col min="15" max="15" width="17.140625" style="32" customWidth="1"/>
    <col min="16" max="16" width="16.140625" style="32" hidden="1" customWidth="1"/>
    <col min="17" max="17" width="16.7109375" style="32" hidden="1" customWidth="1"/>
    <col min="18" max="23" width="18" style="32" hidden="1" customWidth="1"/>
    <col min="24" max="26" width="18" style="32" customWidth="1"/>
    <col min="27" max="27" width="17.28515625" style="32" customWidth="1"/>
    <col min="28" max="16384" width="11.7109375" style="32"/>
  </cols>
  <sheetData>
    <row r="1" spans="1:27" ht="28.5" customHeight="1">
      <c r="A1" s="1752" t="s">
        <v>198</v>
      </c>
      <c r="B1" s="1752"/>
      <c r="C1" s="1752"/>
      <c r="D1" s="1752"/>
      <c r="E1" s="1752"/>
      <c r="F1" s="1752"/>
      <c r="G1" s="1752"/>
      <c r="H1" s="1752"/>
      <c r="I1" s="1752"/>
      <c r="J1" s="1752"/>
      <c r="K1" s="1752"/>
      <c r="L1" s="1752"/>
      <c r="M1" s="1752"/>
      <c r="N1" s="1752"/>
      <c r="O1" s="1752"/>
      <c r="P1" s="1752"/>
      <c r="Q1" s="1752"/>
      <c r="R1" s="1752"/>
      <c r="S1" s="1752"/>
      <c r="T1" s="1752"/>
      <c r="U1" s="1752"/>
      <c r="V1" s="1752"/>
      <c r="W1" s="1752"/>
      <c r="X1" s="1752"/>
      <c r="Y1" s="1752"/>
      <c r="Z1" s="1752"/>
      <c r="AA1" s="1752"/>
    </row>
    <row r="2" spans="1:27" ht="28.5" customHeight="1" thickBot="1">
      <c r="A2" s="30"/>
      <c r="B2" s="30"/>
      <c r="C2" s="30"/>
      <c r="D2" s="30"/>
      <c r="E2" s="30"/>
      <c r="F2" s="1126"/>
      <c r="G2" s="1126"/>
      <c r="H2" s="1334"/>
      <c r="I2" s="1334"/>
      <c r="J2" s="1359"/>
      <c r="K2" s="1359"/>
      <c r="L2" s="1387"/>
      <c r="M2" s="1387"/>
      <c r="N2" s="30"/>
      <c r="O2" s="30"/>
      <c r="P2" s="30"/>
      <c r="Q2" s="30"/>
      <c r="R2" s="30"/>
      <c r="S2" s="1126"/>
      <c r="T2" s="1126"/>
      <c r="U2" s="1334"/>
      <c r="V2" s="1334"/>
      <c r="W2" s="1359"/>
      <c r="X2" s="1359"/>
      <c r="Y2" s="1387"/>
      <c r="Z2" s="1387"/>
      <c r="AA2" s="31"/>
    </row>
    <row r="3" spans="1:27" ht="85.9" customHeight="1">
      <c r="A3" s="455" t="s">
        <v>43</v>
      </c>
      <c r="B3" s="456" t="s">
        <v>284</v>
      </c>
      <c r="C3" s="457" t="s">
        <v>470</v>
      </c>
      <c r="D3" s="457" t="s">
        <v>151</v>
      </c>
      <c r="E3" s="458" t="s">
        <v>156</v>
      </c>
      <c r="F3" s="458" t="s">
        <v>863</v>
      </c>
      <c r="G3" s="458" t="s">
        <v>912</v>
      </c>
      <c r="H3" s="1339" t="s">
        <v>863</v>
      </c>
      <c r="I3" s="1338" t="s">
        <v>912</v>
      </c>
      <c r="J3" s="1339" t="s">
        <v>863</v>
      </c>
      <c r="K3" s="1389" t="s">
        <v>953</v>
      </c>
      <c r="L3" s="456" t="s">
        <v>954</v>
      </c>
      <c r="M3" s="456" t="s">
        <v>955</v>
      </c>
      <c r="N3" s="455" t="s">
        <v>44</v>
      </c>
      <c r="O3" s="456" t="s">
        <v>284</v>
      </c>
      <c r="P3" s="459" t="s">
        <v>817</v>
      </c>
      <c r="Q3" s="457" t="s">
        <v>151</v>
      </c>
      <c r="R3" s="458" t="s">
        <v>156</v>
      </c>
      <c r="S3" s="458" t="s">
        <v>863</v>
      </c>
      <c r="T3" s="458" t="s">
        <v>912</v>
      </c>
      <c r="U3" s="458" t="s">
        <v>863</v>
      </c>
      <c r="V3" s="458" t="s">
        <v>912</v>
      </c>
      <c r="W3" s="458" t="s">
        <v>863</v>
      </c>
      <c r="X3" s="1403" t="s">
        <v>953</v>
      </c>
      <c r="Y3" s="1400" t="s">
        <v>956</v>
      </c>
      <c r="Z3" s="1400" t="s">
        <v>957</v>
      </c>
      <c r="AA3" s="476" t="s">
        <v>139</v>
      </c>
    </row>
    <row r="4" spans="1:27" s="33" customFormat="1" ht="40.9" customHeight="1">
      <c r="A4" s="460" t="s">
        <v>45</v>
      </c>
      <c r="B4" s="461">
        <f t="shared" ref="B4:G4" si="0">SUM(B5:B9)</f>
        <v>2678166</v>
      </c>
      <c r="C4" s="461">
        <f t="shared" si="0"/>
        <v>0</v>
      </c>
      <c r="D4" s="461">
        <f t="shared" si="0"/>
        <v>89714</v>
      </c>
      <c r="E4" s="461">
        <f t="shared" si="0"/>
        <v>2856272</v>
      </c>
      <c r="F4" s="461">
        <f t="shared" si="0"/>
        <v>270640</v>
      </c>
      <c r="G4" s="461">
        <f t="shared" si="0"/>
        <v>3126857</v>
      </c>
      <c r="H4" s="1340">
        <f>SUM(H5:H9)</f>
        <v>53090</v>
      </c>
      <c r="I4" s="1336">
        <f>SUM(I5:I9)</f>
        <v>3179947</v>
      </c>
      <c r="J4" s="1340">
        <f>SUM(J5:J9)</f>
        <v>264449</v>
      </c>
      <c r="K4" s="1336">
        <f>SUM(K5:K9)</f>
        <v>3444396</v>
      </c>
      <c r="L4" s="461">
        <f>SUM(L5:L9)</f>
        <v>3104044</v>
      </c>
      <c r="M4" s="1516">
        <f>L4/K4</f>
        <v>0.90118673927155879</v>
      </c>
      <c r="N4" s="460" t="s">
        <v>46</v>
      </c>
      <c r="O4" s="461">
        <f t="shared" ref="O4:Y4" si="1">SUM(O5:O9)</f>
        <v>2695283</v>
      </c>
      <c r="P4" s="461">
        <f t="shared" si="1"/>
        <v>0</v>
      </c>
      <c r="Q4" s="461" t="e">
        <f t="shared" si="1"/>
        <v>#REF!</v>
      </c>
      <c r="R4" s="461" t="e">
        <f t="shared" si="1"/>
        <v>#REF!</v>
      </c>
      <c r="S4" s="461" t="e">
        <f t="shared" si="1"/>
        <v>#REF!</v>
      </c>
      <c r="T4" s="461">
        <f t="shared" si="1"/>
        <v>2983253</v>
      </c>
      <c r="U4" s="461" t="e">
        <f t="shared" si="1"/>
        <v>#REF!</v>
      </c>
      <c r="V4" s="461" t="e">
        <f t="shared" si="1"/>
        <v>#REF!</v>
      </c>
      <c r="W4" s="461" t="e">
        <f t="shared" si="1"/>
        <v>#REF!</v>
      </c>
      <c r="X4" s="461">
        <f t="shared" si="1"/>
        <v>3357568</v>
      </c>
      <c r="Y4" s="461">
        <f t="shared" si="1"/>
        <v>2602982</v>
      </c>
      <c r="Z4" s="1405">
        <f>Y4/X4</f>
        <v>0.77525816305135142</v>
      </c>
      <c r="AA4" s="1135">
        <f t="shared" ref="AA4:AA19" si="2">K4-X4</f>
        <v>86828</v>
      </c>
    </row>
    <row r="5" spans="1:27" s="33" customFormat="1" ht="37.15" customHeight="1">
      <c r="A5" s="463" t="s">
        <v>366</v>
      </c>
      <c r="B5" s="1128">
        <f>'4'!C160+'5'!C3+'6'!C3</f>
        <v>1299158</v>
      </c>
      <c r="C5" s="1156"/>
      <c r="D5" s="1128">
        <f>'4'!D160+'5'!D3+'6'!D3</f>
        <v>71487</v>
      </c>
      <c r="E5" s="1128">
        <v>1442015</v>
      </c>
      <c r="F5" s="1128">
        <f>'4'!H160+'5'!F3+'6'!H3</f>
        <v>198309</v>
      </c>
      <c r="G5" s="1128">
        <f>SUM(E5:F5)</f>
        <v>1640324</v>
      </c>
      <c r="H5" s="1128">
        <f>'4'!J160+'5'!H3+'6'!J3</f>
        <v>27746</v>
      </c>
      <c r="I5" s="1128">
        <f>SUM(G5:H5)</f>
        <v>1668070</v>
      </c>
      <c r="J5" s="1128">
        <f>'4'!L160+'5'!J3+'6'!L3+10490</f>
        <v>-4493</v>
      </c>
      <c r="K5" s="1128">
        <v>1660897</v>
      </c>
      <c r="L5" s="1341">
        <v>1631384</v>
      </c>
      <c r="M5" s="1390">
        <f>L5/K5</f>
        <v>0.98223068618945064</v>
      </c>
      <c r="N5" s="1153" t="s">
        <v>40</v>
      </c>
      <c r="O5" s="1136">
        <f>'7'!C173+'8'!C185+'9'!C82</f>
        <v>893102</v>
      </c>
      <c r="P5" s="1130"/>
      <c r="Q5" s="1136">
        <f>'7'!D173+'8'!D185+'9'!D82</f>
        <v>89653</v>
      </c>
      <c r="R5" s="1136">
        <f>'7'!G173+'8'!E185+'9'!E82</f>
        <v>1027468</v>
      </c>
      <c r="S5" s="1136">
        <f>'7'!H173+'8'!F185+'9'!F82</f>
        <v>42511</v>
      </c>
      <c r="T5" s="1136">
        <f>SUM(R5:S5)</f>
        <v>1069979</v>
      </c>
      <c r="U5" s="1136">
        <f>'7'!J173+'8'!H185+'9'!H82</f>
        <v>13013</v>
      </c>
      <c r="V5" s="1136">
        <f>SUM(T5:U5)</f>
        <v>1082992</v>
      </c>
      <c r="W5" s="1136">
        <f>'7'!L173+'8'!J185+'9'!J82</f>
        <v>20783</v>
      </c>
      <c r="X5" s="1136">
        <v>1103355</v>
      </c>
      <c r="Y5" s="1399">
        <v>1038838</v>
      </c>
      <c r="Z5" s="1404">
        <f>Y5/X5</f>
        <v>0.94152652591414365</v>
      </c>
      <c r="AA5" s="1375">
        <f t="shared" si="2"/>
        <v>557542</v>
      </c>
    </row>
    <row r="6" spans="1:27" s="34" customFormat="1" ht="37.15" customHeight="1">
      <c r="A6" s="463" t="s">
        <v>376</v>
      </c>
      <c r="B6" s="1128">
        <f>'4'!C161+'5'!C83+'6'!C5</f>
        <v>866650</v>
      </c>
      <c r="C6" s="1129"/>
      <c r="D6" s="1128">
        <f>'4'!D161+'5'!D83+'6'!D5</f>
        <v>800</v>
      </c>
      <c r="E6" s="1128">
        <v>867350</v>
      </c>
      <c r="F6" s="1128">
        <f>'5'!F83</f>
        <v>32000</v>
      </c>
      <c r="G6" s="1128">
        <f t="shared" ref="G6:I7" si="3">SUM(E6:F6)</f>
        <v>899350</v>
      </c>
      <c r="H6" s="1128">
        <f>'5'!H83</f>
        <v>5500</v>
      </c>
      <c r="I6" s="1128">
        <f t="shared" si="3"/>
        <v>904850</v>
      </c>
      <c r="J6" s="1128">
        <f>'4'!L162+'5'!J83+'6'!L5</f>
        <v>258257</v>
      </c>
      <c r="K6" s="1128">
        <f>SUM(I6:J6)</f>
        <v>1163107</v>
      </c>
      <c r="L6" s="1341">
        <v>1019127</v>
      </c>
      <c r="M6" s="1390">
        <f t="shared" ref="M6:M8" si="4">L6/K6</f>
        <v>0.87621087311829438</v>
      </c>
      <c r="N6" s="1153" t="s">
        <v>303</v>
      </c>
      <c r="O6" s="1136">
        <f>'7'!C174+'8'!C186+'9'!C83</f>
        <v>256331</v>
      </c>
      <c r="P6" s="1129"/>
      <c r="Q6" s="1136">
        <f>'7'!D174+'8'!D186+'9'!D83</f>
        <v>20208</v>
      </c>
      <c r="R6" s="1136">
        <f>'7'!G174+'8'!E186+'9'!E83</f>
        <v>284682</v>
      </c>
      <c r="S6" s="1136">
        <f>'7'!H174+'8'!F186+'9'!F83</f>
        <v>3910</v>
      </c>
      <c r="T6" s="1136">
        <f>SUM(R6:S6)</f>
        <v>288592</v>
      </c>
      <c r="U6" s="1136">
        <f>'7'!J174+'8'!H186+'9'!H83</f>
        <v>1454</v>
      </c>
      <c r="V6" s="1136">
        <f>SUM(T6:U6)</f>
        <v>290046</v>
      </c>
      <c r="W6" s="1136">
        <f>'7'!L174+'8'!J186+'9'!J83</f>
        <v>2067</v>
      </c>
      <c r="X6" s="1136">
        <v>292515</v>
      </c>
      <c r="Y6" s="1399">
        <v>274824</v>
      </c>
      <c r="Z6" s="1404">
        <f>Y6/X6</f>
        <v>0.93952105020255372</v>
      </c>
      <c r="AA6" s="1375">
        <f t="shared" si="2"/>
        <v>870592</v>
      </c>
    </row>
    <row r="7" spans="1:27" s="34" customFormat="1" ht="33" customHeight="1">
      <c r="A7" s="463" t="s">
        <v>47</v>
      </c>
      <c r="B7" s="1128">
        <f>'4'!C163+'5'!C97+'6'!C10</f>
        <v>511758</v>
      </c>
      <c r="C7" s="1129"/>
      <c r="D7" s="1128">
        <f>'4'!D163+'5'!D97+'6'!D10</f>
        <v>11507</v>
      </c>
      <c r="E7" s="1128">
        <v>545527</v>
      </c>
      <c r="F7" s="1128">
        <f>'4'!H163+'5'!F97+'6'!H10</f>
        <v>32780</v>
      </c>
      <c r="G7" s="1128">
        <f t="shared" si="3"/>
        <v>578307</v>
      </c>
      <c r="H7" s="1128">
        <f>'4'!J163+'5'!H97+'6'!J10</f>
        <v>19844</v>
      </c>
      <c r="I7" s="1128">
        <f t="shared" si="3"/>
        <v>598151</v>
      </c>
      <c r="J7" s="1128">
        <f>'4'!L163+'5'!J97+'6'!L10-10490</f>
        <v>17476</v>
      </c>
      <c r="K7" s="1128">
        <f>SUM(I7:J7)</f>
        <v>615627</v>
      </c>
      <c r="L7" s="1341">
        <v>449286</v>
      </c>
      <c r="M7" s="1390">
        <f t="shared" si="4"/>
        <v>0.72980229911943428</v>
      </c>
      <c r="N7" s="1153" t="s">
        <v>132</v>
      </c>
      <c r="O7" s="1136">
        <f>'7'!C175+'8'!C187+'9'!C84</f>
        <v>880050</v>
      </c>
      <c r="P7" s="1129"/>
      <c r="Q7" s="1136">
        <f>'7'!D175+'8'!D187+'9'!D84</f>
        <v>60669</v>
      </c>
      <c r="R7" s="1136">
        <f>'7'!G175+'8'!E187+'9'!E84</f>
        <v>986370</v>
      </c>
      <c r="S7" s="1136">
        <f>'7'!H175+'8'!F187+'9'!F84</f>
        <v>43263</v>
      </c>
      <c r="T7" s="1136">
        <f>SUM(R7:S7)</f>
        <v>1029633</v>
      </c>
      <c r="U7" s="1136">
        <f>'7'!J175+'8'!H187+'9'!H84+5000</f>
        <v>43081</v>
      </c>
      <c r="V7" s="1136">
        <f>SUM(T7:U7)</f>
        <v>1072714</v>
      </c>
      <c r="W7" s="1136">
        <f>'7'!L175+'8'!J187+'9'!J84</f>
        <v>84406</v>
      </c>
      <c r="X7" s="1136">
        <v>1152243</v>
      </c>
      <c r="Y7" s="1399">
        <v>966404</v>
      </c>
      <c r="Z7" s="1404">
        <f>Y7/X7</f>
        <v>0.83871544457202174</v>
      </c>
      <c r="AA7" s="1375">
        <f t="shared" si="2"/>
        <v>-536616</v>
      </c>
    </row>
    <row r="8" spans="1:27" s="33" customFormat="1" ht="33" customHeight="1">
      <c r="A8" s="463" t="s">
        <v>378</v>
      </c>
      <c r="B8" s="1128">
        <f>'4'!C165+'5'!C139+'6'!C22</f>
        <v>600</v>
      </c>
      <c r="C8" s="1130"/>
      <c r="D8" s="1128">
        <f>'4'!D165+'5'!D139+'6'!D22</f>
        <v>5920</v>
      </c>
      <c r="E8" s="1128">
        <v>1380</v>
      </c>
      <c r="F8" s="1128">
        <f>'4'!H165+'5'!F139+'6'!H22</f>
        <v>7551</v>
      </c>
      <c r="G8" s="1128">
        <v>8876</v>
      </c>
      <c r="H8" s="1128">
        <f>'4'!J165+'5'!H139+'6'!J22</f>
        <v>0</v>
      </c>
      <c r="I8" s="1128">
        <f>SUM(G8:H8)</f>
        <v>8876</v>
      </c>
      <c r="J8" s="1128">
        <f>'4'!L165+'5'!J139+'6'!L22</f>
        <v>-6791</v>
      </c>
      <c r="K8" s="1128">
        <v>4765</v>
      </c>
      <c r="L8" s="1341">
        <v>4247</v>
      </c>
      <c r="M8" s="1390">
        <f t="shared" si="4"/>
        <v>0.8912906610703043</v>
      </c>
      <c r="N8" s="1153" t="s">
        <v>42</v>
      </c>
      <c r="O8" s="1136">
        <f>'7'!C176+'8'!C188+'9'!C85</f>
        <v>433600</v>
      </c>
      <c r="P8" s="1130"/>
      <c r="Q8" s="1136">
        <f>'7'!D176+'8'!D188+'9'!D85</f>
        <v>0</v>
      </c>
      <c r="R8" s="1136">
        <f>'7'!G176+'8'!E188+'9'!E85</f>
        <v>433700</v>
      </c>
      <c r="S8" s="1136">
        <f>'7'!H176+'8'!F188+'9'!F85</f>
        <v>8093</v>
      </c>
      <c r="T8" s="1136">
        <f>SUM(R8:S8)</f>
        <v>441793</v>
      </c>
      <c r="U8" s="1136">
        <f>'8'!H188</f>
        <v>12383</v>
      </c>
      <c r="V8" s="1136">
        <f>SUM(T8:U8)</f>
        <v>454176</v>
      </c>
      <c r="W8" s="1136">
        <f>'7'!L176+'8'!J188+'9'!J85</f>
        <v>-20000</v>
      </c>
      <c r="X8" s="1136">
        <v>439176</v>
      </c>
      <c r="Y8" s="1399">
        <v>279698</v>
      </c>
      <c r="Z8" s="1404">
        <f t="shared" ref="Z8:Z16" si="5">Y8/X8</f>
        <v>0.6368699564639233</v>
      </c>
      <c r="AA8" s="1375">
        <f t="shared" si="2"/>
        <v>-434411</v>
      </c>
    </row>
    <row r="9" spans="1:27" s="35" customFormat="1" ht="33" customHeight="1">
      <c r="A9" s="465"/>
      <c r="B9" s="1128" t="s">
        <v>98</v>
      </c>
      <c r="C9" s="1128">
        <v>0</v>
      </c>
      <c r="D9" s="1128">
        <v>0</v>
      </c>
      <c r="E9" s="1128" t="s">
        <v>98</v>
      </c>
      <c r="F9" s="1128"/>
      <c r="G9" s="1128"/>
      <c r="H9" s="1341"/>
      <c r="I9" s="1337"/>
      <c r="J9" s="1337"/>
      <c r="K9" s="1341"/>
      <c r="L9" s="1337"/>
      <c r="M9" s="1396"/>
      <c r="N9" s="1153" t="s">
        <v>361</v>
      </c>
      <c r="O9" s="1136">
        <f>'7'!C177+'8'!C189+'9'!C86</f>
        <v>232200</v>
      </c>
      <c r="P9" s="1132"/>
      <c r="Q9" s="1136" t="e">
        <f>'7'!D177+'8'!D189+'9'!D86</f>
        <v>#REF!</v>
      </c>
      <c r="R9" s="1136" t="e">
        <f>'7'!G177+'8'!E189+'9'!E86</f>
        <v>#REF!</v>
      </c>
      <c r="S9" s="1136" t="e">
        <f>'7'!H177+'8'!F189+'9'!F86</f>
        <v>#REF!</v>
      </c>
      <c r="T9" s="1136">
        <v>153256</v>
      </c>
      <c r="U9" s="1136" t="e">
        <f>'7'!J177+'8'!H189+'9'!H86</f>
        <v>#REF!</v>
      </c>
      <c r="V9" s="1136" t="e">
        <f>SUM(T9:U9)</f>
        <v>#REF!</v>
      </c>
      <c r="W9" s="1136" t="e">
        <f>'7'!L177+'8'!J189+'9'!J86</f>
        <v>#REF!</v>
      </c>
      <c r="X9" s="1136">
        <v>370279</v>
      </c>
      <c r="Y9" s="1399">
        <v>43218</v>
      </c>
      <c r="Z9" s="1404">
        <f t="shared" si="5"/>
        <v>0.11671739418114449</v>
      </c>
      <c r="AA9" s="1375">
        <f t="shared" si="2"/>
        <v>-370279</v>
      </c>
    </row>
    <row r="10" spans="1:27" s="1408" customFormat="1" ht="40.9" customHeight="1">
      <c r="A10" s="466" t="s">
        <v>52</v>
      </c>
      <c r="B10" s="461">
        <f t="shared" ref="B10:L10" si="6">SUM(B11:B13)</f>
        <v>454456</v>
      </c>
      <c r="C10" s="461">
        <f t="shared" si="6"/>
        <v>0</v>
      </c>
      <c r="D10" s="461">
        <f t="shared" si="6"/>
        <v>461221</v>
      </c>
      <c r="E10" s="461">
        <f t="shared" si="6"/>
        <v>1025022</v>
      </c>
      <c r="F10" s="461">
        <f t="shared" si="6"/>
        <v>-146648</v>
      </c>
      <c r="G10" s="461">
        <f t="shared" si="6"/>
        <v>878374</v>
      </c>
      <c r="H10" s="461">
        <f t="shared" si="6"/>
        <v>0</v>
      </c>
      <c r="I10" s="461">
        <f t="shared" si="6"/>
        <v>878374</v>
      </c>
      <c r="J10" s="461">
        <f t="shared" si="6"/>
        <v>10268</v>
      </c>
      <c r="K10" s="461">
        <f t="shared" si="6"/>
        <v>888642</v>
      </c>
      <c r="L10" s="461">
        <f t="shared" si="6"/>
        <v>479933</v>
      </c>
      <c r="M10" s="1391">
        <f>L10/K10</f>
        <v>0.54007463072868489</v>
      </c>
      <c r="N10" s="466" t="s">
        <v>53</v>
      </c>
      <c r="O10" s="461">
        <f t="shared" ref="O10:Y10" si="7">SUM(O11:O13)</f>
        <v>1853884</v>
      </c>
      <c r="P10" s="461">
        <f t="shared" si="7"/>
        <v>133383</v>
      </c>
      <c r="Q10" s="461">
        <f t="shared" si="7"/>
        <v>1965242</v>
      </c>
      <c r="R10" s="461">
        <f t="shared" si="7"/>
        <v>203808</v>
      </c>
      <c r="S10" s="461">
        <f t="shared" si="7"/>
        <v>1906460</v>
      </c>
      <c r="T10" s="461">
        <f t="shared" si="7"/>
        <v>205713</v>
      </c>
      <c r="U10" s="461">
        <f t="shared" si="7"/>
        <v>1917176</v>
      </c>
      <c r="V10" s="461">
        <f t="shared" si="7"/>
        <v>136952</v>
      </c>
      <c r="W10" s="461">
        <f t="shared" si="7"/>
        <v>1866097</v>
      </c>
      <c r="X10" s="461">
        <f t="shared" si="7"/>
        <v>2051527</v>
      </c>
      <c r="Y10" s="461">
        <f t="shared" si="7"/>
        <v>525148</v>
      </c>
      <c r="Z10" s="1407">
        <f t="shared" si="5"/>
        <v>0.25597908289776344</v>
      </c>
      <c r="AA10" s="1135">
        <f t="shared" si="2"/>
        <v>-1162885</v>
      </c>
    </row>
    <row r="11" spans="1:27" s="33" customFormat="1" ht="42" customHeight="1">
      <c r="A11" s="463" t="s">
        <v>367</v>
      </c>
      <c r="B11" s="1128">
        <v>417106</v>
      </c>
      <c r="C11" s="1130"/>
      <c r="D11" s="1128">
        <f>'4'!D177+'5'!D68+'6'!D4</f>
        <v>461054</v>
      </c>
      <c r="E11" s="1128">
        <v>982990</v>
      </c>
      <c r="F11" s="1128">
        <f>'4'!H161+'5'!F69+'6'!F4</f>
        <v>-146848</v>
      </c>
      <c r="G11" s="1128">
        <f t="shared" ref="G11:I13" si="8">SUM(E11:F11)</f>
        <v>836142</v>
      </c>
      <c r="H11" s="1128">
        <f>'4'!J161+'5'!H69+'6'!H4</f>
        <v>0</v>
      </c>
      <c r="I11" s="1128">
        <f t="shared" si="8"/>
        <v>836142</v>
      </c>
      <c r="J11" s="1128">
        <f>'4'!L161+'5'!J69+'6'!L4</f>
        <v>2731</v>
      </c>
      <c r="K11" s="1128">
        <v>838573</v>
      </c>
      <c r="L11" s="1341">
        <v>458605</v>
      </c>
      <c r="M11" s="1390">
        <f>L11/K11</f>
        <v>0.54688739084134597</v>
      </c>
      <c r="N11" s="1153" t="s">
        <v>363</v>
      </c>
      <c r="O11" s="1136">
        <f>'7'!C179+'9'!C88+'8'!C191</f>
        <v>1733104</v>
      </c>
      <c r="P11" s="1136">
        <f>'7'!D179+'9'!D88+'8'!D191</f>
        <v>133383</v>
      </c>
      <c r="Q11" s="1136">
        <f>'7'!E179+'9'!E88+'8'!E191</f>
        <v>1894927</v>
      </c>
      <c r="R11" s="1136">
        <f>'7'!F179+'9'!F88+'8'!F191</f>
        <v>11659</v>
      </c>
      <c r="S11" s="1136">
        <f>'7'!G179+'9'!G88+'8'!G191</f>
        <v>1906586</v>
      </c>
      <c r="T11" s="1136">
        <f>'7'!H179+'9'!H88+'8'!H191</f>
        <v>13690</v>
      </c>
      <c r="U11" s="1136">
        <f>'7'!I179+'9'!I88+'8'!I191</f>
        <v>1920276</v>
      </c>
      <c r="V11" s="1136">
        <f>'7'!J179+'9'!J88+'8'!J191</f>
        <v>-51971</v>
      </c>
      <c r="W11" s="1136">
        <f>'7'!K179+'9'!K88+'8'!K191</f>
        <v>1868305</v>
      </c>
      <c r="X11" s="1136">
        <v>1864812</v>
      </c>
      <c r="Y11" s="1136">
        <v>445368</v>
      </c>
      <c r="Z11" s="1404">
        <f t="shared" si="5"/>
        <v>0.23882729197366812</v>
      </c>
      <c r="AA11" s="1375">
        <f t="shared" si="2"/>
        <v>-1026239</v>
      </c>
    </row>
    <row r="12" spans="1:27" s="33" customFormat="1" ht="33" customHeight="1">
      <c r="A12" s="463" t="s">
        <v>377</v>
      </c>
      <c r="B12" s="1128">
        <f>+'4'!C180+'5'!C128+'6'!C21</f>
        <v>0</v>
      </c>
      <c r="C12" s="1130"/>
      <c r="D12" s="1128">
        <f>+'4'!D180+'5'!D128+'6'!D21</f>
        <v>167</v>
      </c>
      <c r="E12" s="1128">
        <f>+'4'!G180+'5'!E128+'6'!E21</f>
        <v>4167</v>
      </c>
      <c r="F12" s="1128">
        <f>'4'!H164+'5'!F128+'6'!H21</f>
        <v>0</v>
      </c>
      <c r="G12" s="1128">
        <f t="shared" si="8"/>
        <v>4167</v>
      </c>
      <c r="H12" s="1128">
        <f>'4'!J164+'5'!H128+'6'!J21</f>
        <v>0</v>
      </c>
      <c r="I12" s="1128">
        <f t="shared" si="8"/>
        <v>4167</v>
      </c>
      <c r="J12" s="1128">
        <f>'4'!L164+'5'!J128+'6'!L21</f>
        <v>6913</v>
      </c>
      <c r="K12" s="1128">
        <f>SUM(I12:J12)</f>
        <v>11080</v>
      </c>
      <c r="L12" s="1341">
        <v>11095</v>
      </c>
      <c r="M12" s="1390">
        <f t="shared" ref="M12:M19" si="9">L12/K12</f>
        <v>1.0013537906137184</v>
      </c>
      <c r="N12" s="1153" t="s">
        <v>54</v>
      </c>
      <c r="O12" s="1136">
        <f>'7'!C180+'9'!C89+'8'!C192</f>
        <v>93480</v>
      </c>
      <c r="P12" s="1130"/>
      <c r="Q12" s="1136">
        <f>'7'!D180+'9'!D89+'8'!D192</f>
        <v>83755</v>
      </c>
      <c r="R12" s="1136">
        <f>'7'!G180+'9'!E89+'8'!E192</f>
        <v>178289</v>
      </c>
      <c r="S12" s="1136">
        <f>'7'!H180+'9'!F89+'8'!F192</f>
        <v>-126</v>
      </c>
      <c r="T12" s="1136">
        <f>SUM(R12:S12)</f>
        <v>178163</v>
      </c>
      <c r="U12" s="1136">
        <f>'7'!J180+'9'!H89+'8'!H192</f>
        <v>-3100</v>
      </c>
      <c r="V12" s="1136">
        <f>SUM(T12:U12)</f>
        <v>175063</v>
      </c>
      <c r="W12" s="1136">
        <f>'7'!L180+'9'!J89+'8'!J192</f>
        <v>-2208</v>
      </c>
      <c r="X12" s="1136">
        <f>SUM(V12:W12)</f>
        <v>172855</v>
      </c>
      <c r="Y12" s="1136">
        <v>75810</v>
      </c>
      <c r="Z12" s="1404">
        <f t="shared" si="5"/>
        <v>0.43857568482253911</v>
      </c>
      <c r="AA12" s="1375">
        <f t="shared" si="2"/>
        <v>-161775</v>
      </c>
    </row>
    <row r="13" spans="1:27" s="33" customFormat="1" ht="33" customHeight="1">
      <c r="A13" s="463" t="s">
        <v>379</v>
      </c>
      <c r="B13" s="1128">
        <f>'4'!C182+'5'!C144+'6'!C23</f>
        <v>37350</v>
      </c>
      <c r="C13" s="1156"/>
      <c r="D13" s="1128">
        <f>'4'!D182+'5'!D144+'6'!D23</f>
        <v>0</v>
      </c>
      <c r="E13" s="1128">
        <v>37865</v>
      </c>
      <c r="F13" s="1128">
        <f>'4'!H166+'5'!F144+'6'!H23</f>
        <v>200</v>
      </c>
      <c r="G13" s="1128">
        <f t="shared" si="8"/>
        <v>38065</v>
      </c>
      <c r="H13" s="1128">
        <f>'4'!J166+'5'!H144+'6'!J23</f>
        <v>0</v>
      </c>
      <c r="I13" s="1128">
        <f t="shared" si="8"/>
        <v>38065</v>
      </c>
      <c r="J13" s="1128">
        <f>'4'!L166+'5'!J144+'6'!L23</f>
        <v>624</v>
      </c>
      <c r="K13" s="1128">
        <v>38989</v>
      </c>
      <c r="L13" s="1341">
        <v>10233</v>
      </c>
      <c r="M13" s="1390">
        <f t="shared" si="9"/>
        <v>0.26245864218112802</v>
      </c>
      <c r="N13" s="1153" t="s">
        <v>364</v>
      </c>
      <c r="O13" s="1136">
        <f>'7'!C181+'9'!C90+'8'!C193</f>
        <v>27300</v>
      </c>
      <c r="P13" s="1130"/>
      <c r="Q13" s="1136">
        <f>'7'!D181+'9'!D90+'8'!D193</f>
        <v>-13440</v>
      </c>
      <c r="R13" s="1136">
        <f>'7'!G181+'9'!E90+'8'!E193</f>
        <v>13860</v>
      </c>
      <c r="S13" s="1136">
        <f>'7'!H181+'9'!F90+'8'!F193</f>
        <v>0</v>
      </c>
      <c r="T13" s="1136">
        <f>SUM(R13:S13)</f>
        <v>13860</v>
      </c>
      <c r="U13" s="1136">
        <f>'7'!J181+'9'!H90+'8'!H193</f>
        <v>0</v>
      </c>
      <c r="V13" s="1136">
        <f>SUM(T13:U13)</f>
        <v>13860</v>
      </c>
      <c r="W13" s="1136">
        <f>'7'!L181+'9'!J90+'8'!J193</f>
        <v>0</v>
      </c>
      <c r="X13" s="1136">
        <f>SUM(V13:W13)</f>
        <v>13860</v>
      </c>
      <c r="Y13" s="1136">
        <v>3970</v>
      </c>
      <c r="Z13" s="1404">
        <f t="shared" si="5"/>
        <v>0.28643578643578643</v>
      </c>
      <c r="AA13" s="1375">
        <f t="shared" si="2"/>
        <v>25129</v>
      </c>
    </row>
    <row r="14" spans="1:27" s="1408" customFormat="1" ht="40.9" customHeight="1">
      <c r="A14" s="466" t="s">
        <v>56</v>
      </c>
      <c r="B14" s="461">
        <f t="shared" ref="B14:L14" si="10">+B10+B4</f>
        <v>3132622</v>
      </c>
      <c r="C14" s="461">
        <f t="shared" si="10"/>
        <v>0</v>
      </c>
      <c r="D14" s="461">
        <f t="shared" si="10"/>
        <v>550935</v>
      </c>
      <c r="E14" s="461">
        <f t="shared" si="10"/>
        <v>3881294</v>
      </c>
      <c r="F14" s="461">
        <f t="shared" si="10"/>
        <v>123992</v>
      </c>
      <c r="G14" s="461">
        <f t="shared" si="10"/>
        <v>4005231</v>
      </c>
      <c r="H14" s="461">
        <f t="shared" si="10"/>
        <v>53090</v>
      </c>
      <c r="I14" s="461">
        <f t="shared" si="10"/>
        <v>4058321</v>
      </c>
      <c r="J14" s="461">
        <f t="shared" si="10"/>
        <v>274717</v>
      </c>
      <c r="K14" s="461">
        <f t="shared" si="10"/>
        <v>4333038</v>
      </c>
      <c r="L14" s="461">
        <f t="shared" si="10"/>
        <v>3583977</v>
      </c>
      <c r="M14" s="1395">
        <f t="shared" si="9"/>
        <v>0.82712798733821402</v>
      </c>
      <c r="N14" s="466" t="s">
        <v>57</v>
      </c>
      <c r="O14" s="461">
        <f t="shared" ref="O14:Y14" si="11">SUM(O10+O4)</f>
        <v>4549167</v>
      </c>
      <c r="P14" s="461">
        <f t="shared" si="11"/>
        <v>133383</v>
      </c>
      <c r="Q14" s="461" t="e">
        <f t="shared" si="11"/>
        <v>#REF!</v>
      </c>
      <c r="R14" s="461" t="e">
        <f t="shared" si="11"/>
        <v>#REF!</v>
      </c>
      <c r="S14" s="461" t="e">
        <f t="shared" si="11"/>
        <v>#REF!</v>
      </c>
      <c r="T14" s="461">
        <f t="shared" si="11"/>
        <v>3188966</v>
      </c>
      <c r="U14" s="461" t="e">
        <f t="shared" si="11"/>
        <v>#REF!</v>
      </c>
      <c r="V14" s="461" t="e">
        <f t="shared" si="11"/>
        <v>#REF!</v>
      </c>
      <c r="W14" s="461" t="e">
        <f t="shared" si="11"/>
        <v>#REF!</v>
      </c>
      <c r="X14" s="461">
        <f t="shared" si="11"/>
        <v>5409095</v>
      </c>
      <c r="Y14" s="461">
        <f t="shared" si="11"/>
        <v>3128130</v>
      </c>
      <c r="Z14" s="1407">
        <f t="shared" si="5"/>
        <v>0.57830931052237022</v>
      </c>
      <c r="AA14" s="1135">
        <f t="shared" si="2"/>
        <v>-1076057</v>
      </c>
    </row>
    <row r="15" spans="1:27" s="36" customFormat="1" ht="33" customHeight="1">
      <c r="A15" s="463" t="s">
        <v>441</v>
      </c>
      <c r="B15" s="1131">
        <f>'4'!C168+'6'!C25+'5'!C156</f>
        <v>797200</v>
      </c>
      <c r="C15" s="1132"/>
      <c r="D15" s="1131">
        <f>'4'!D168+'6'!D25+'5'!D156</f>
        <v>158666</v>
      </c>
      <c r="E15" s="1131">
        <f>'4'!G168+'6'!E25+'5'!E156</f>
        <v>924766</v>
      </c>
      <c r="F15" s="1131">
        <v>0</v>
      </c>
      <c r="G15" s="1131">
        <f>'4'!G168+'6'!G25+'5'!G156</f>
        <v>924766</v>
      </c>
      <c r="H15" s="1131">
        <v>0</v>
      </c>
      <c r="I15" s="1131">
        <f>'4'!I168+'6'!I25+'5'!I156</f>
        <v>924766</v>
      </c>
      <c r="J15" s="1364"/>
      <c r="K15" s="1131">
        <v>917766</v>
      </c>
      <c r="L15" s="1131">
        <v>917766</v>
      </c>
      <c r="M15" s="1390">
        <f t="shared" si="9"/>
        <v>1</v>
      </c>
      <c r="N15" s="1153" t="s">
        <v>138</v>
      </c>
      <c r="O15" s="1134">
        <f>'7'!C183</f>
        <v>0</v>
      </c>
      <c r="P15" s="1134">
        <f>'7'!D183</f>
        <v>0</v>
      </c>
      <c r="Q15" s="1134">
        <f>'7'!E183+'8'!E197</f>
        <v>1255795</v>
      </c>
      <c r="R15" s="1134">
        <v>1255795</v>
      </c>
      <c r="S15" s="1134">
        <f>'8'!F197</f>
        <v>880000</v>
      </c>
      <c r="T15" s="1134">
        <f>SUM(R15:S15)</f>
        <v>2135795</v>
      </c>
      <c r="U15" s="1134">
        <f>'8'!H197</f>
        <v>0</v>
      </c>
      <c r="V15" s="1134">
        <f>SUM(T15:U15)</f>
        <v>2135795</v>
      </c>
      <c r="W15" s="1134">
        <f>'8'!J197</f>
        <v>0</v>
      </c>
      <c r="X15" s="1134">
        <v>2135795</v>
      </c>
      <c r="Y15" s="1137">
        <v>1591883</v>
      </c>
      <c r="Z15" s="1404">
        <f t="shared" si="5"/>
        <v>0.74533510940890868</v>
      </c>
      <c r="AA15" s="1375">
        <f t="shared" si="2"/>
        <v>-1218029</v>
      </c>
    </row>
    <row r="16" spans="1:27" s="37" customFormat="1" ht="57" customHeight="1">
      <c r="A16" s="468" t="s">
        <v>140</v>
      </c>
      <c r="B16" s="461">
        <f t="shared" ref="B16:L16" si="12">B14+B15</f>
        <v>3929822</v>
      </c>
      <c r="C16" s="461">
        <f t="shared" si="12"/>
        <v>0</v>
      </c>
      <c r="D16" s="461">
        <f t="shared" si="12"/>
        <v>709601</v>
      </c>
      <c r="E16" s="461">
        <f t="shared" si="12"/>
        <v>4806060</v>
      </c>
      <c r="F16" s="461">
        <f t="shared" si="12"/>
        <v>123992</v>
      </c>
      <c r="G16" s="461">
        <f t="shared" si="12"/>
        <v>4929997</v>
      </c>
      <c r="H16" s="461">
        <f t="shared" si="12"/>
        <v>53090</v>
      </c>
      <c r="I16" s="461">
        <f t="shared" si="12"/>
        <v>4983087</v>
      </c>
      <c r="J16" s="461">
        <f t="shared" si="12"/>
        <v>274717</v>
      </c>
      <c r="K16" s="461">
        <f>K14+K15</f>
        <v>5250804</v>
      </c>
      <c r="L16" s="461">
        <f t="shared" si="12"/>
        <v>4501743</v>
      </c>
      <c r="M16" s="1395">
        <f t="shared" si="9"/>
        <v>0.85734356110035725</v>
      </c>
      <c r="N16" s="468" t="s">
        <v>141</v>
      </c>
      <c r="O16" s="461">
        <f t="shared" ref="O16:Y16" si="13">O14+O15</f>
        <v>4549167</v>
      </c>
      <c r="P16" s="461">
        <f t="shared" si="13"/>
        <v>133383</v>
      </c>
      <c r="Q16" s="461" t="e">
        <f t="shared" si="13"/>
        <v>#REF!</v>
      </c>
      <c r="R16" s="461" t="e">
        <f t="shared" si="13"/>
        <v>#REF!</v>
      </c>
      <c r="S16" s="461" t="e">
        <f t="shared" si="13"/>
        <v>#REF!</v>
      </c>
      <c r="T16" s="461">
        <f t="shared" si="13"/>
        <v>5324761</v>
      </c>
      <c r="U16" s="461" t="e">
        <f t="shared" si="13"/>
        <v>#REF!</v>
      </c>
      <c r="V16" s="461" t="e">
        <f t="shared" si="13"/>
        <v>#REF!</v>
      </c>
      <c r="W16" s="461" t="e">
        <f t="shared" si="13"/>
        <v>#REF!</v>
      </c>
      <c r="X16" s="461">
        <f t="shared" si="13"/>
        <v>7544890</v>
      </c>
      <c r="Y16" s="461">
        <f t="shared" si="13"/>
        <v>4720013</v>
      </c>
      <c r="Z16" s="1407">
        <f t="shared" si="5"/>
        <v>0.62559069781004095</v>
      </c>
      <c r="AA16" s="1135">
        <f t="shared" si="2"/>
        <v>-2294086</v>
      </c>
    </row>
    <row r="17" spans="1:27" s="38" customFormat="1" ht="35.450000000000003" customHeight="1">
      <c r="A17" s="470" t="s">
        <v>217</v>
      </c>
      <c r="B17" s="1134">
        <f>B18+B19</f>
        <v>619345</v>
      </c>
      <c r="C17" s="1132"/>
      <c r="D17" s="1134">
        <f t="shared" ref="D17:L17" si="14">D18+D19</f>
        <v>0</v>
      </c>
      <c r="E17" s="1134">
        <f t="shared" si="14"/>
        <v>1414086</v>
      </c>
      <c r="F17" s="1134">
        <f t="shared" si="14"/>
        <v>880000</v>
      </c>
      <c r="G17" s="1134">
        <f t="shared" si="14"/>
        <v>2294086</v>
      </c>
      <c r="H17" s="1134">
        <f t="shared" si="14"/>
        <v>0</v>
      </c>
      <c r="I17" s="1134">
        <f t="shared" si="14"/>
        <v>2294086</v>
      </c>
      <c r="J17" s="1134">
        <f t="shared" si="14"/>
        <v>0</v>
      </c>
      <c r="K17" s="1134">
        <f>K18+K19</f>
        <v>2294086</v>
      </c>
      <c r="L17" s="1134">
        <f t="shared" si="14"/>
        <v>1361885</v>
      </c>
      <c r="M17" s="1390">
        <f t="shared" si="9"/>
        <v>0.59365036881790834</v>
      </c>
      <c r="N17" s="470"/>
      <c r="O17" s="1134">
        <v>0</v>
      </c>
      <c r="P17" s="1134">
        <f>P19+P18</f>
        <v>0</v>
      </c>
      <c r="Q17" s="1134">
        <f>Q19+Q18</f>
        <v>0</v>
      </c>
      <c r="R17" s="1134">
        <f>R19+R18</f>
        <v>0</v>
      </c>
      <c r="S17" s="1134">
        <f>S19+S18</f>
        <v>0</v>
      </c>
      <c r="T17" s="1134">
        <f>T19+T18</f>
        <v>0</v>
      </c>
      <c r="U17" s="1137"/>
      <c r="V17" s="1137"/>
      <c r="W17" s="1137"/>
      <c r="X17" s="1137"/>
      <c r="Y17" s="1137"/>
      <c r="Z17" s="1404"/>
      <c r="AA17" s="1375">
        <f t="shared" si="2"/>
        <v>2294086</v>
      </c>
    </row>
    <row r="18" spans="1:27" s="33" customFormat="1" ht="22.9" customHeight="1">
      <c r="A18" s="472" t="s">
        <v>471</v>
      </c>
      <c r="B18" s="1133">
        <f>'5'!C155</f>
        <v>489345</v>
      </c>
      <c r="C18" s="1130"/>
      <c r="D18" s="1133">
        <f>'5'!D155</f>
        <v>0</v>
      </c>
      <c r="E18" s="1133">
        <f>'5'!E155</f>
        <v>1284086</v>
      </c>
      <c r="F18" s="1133">
        <f>'5'!F155</f>
        <v>880000</v>
      </c>
      <c r="G18" s="1133">
        <f>'5'!G155</f>
        <v>2164086</v>
      </c>
      <c r="H18" s="1133">
        <f>'5'!H155</f>
        <v>0</v>
      </c>
      <c r="I18" s="1133">
        <f>'5'!I155</f>
        <v>2164086</v>
      </c>
      <c r="J18" s="1133">
        <f>'5'!J155</f>
        <v>0</v>
      </c>
      <c r="K18" s="1133">
        <f>'5'!K155</f>
        <v>2164086</v>
      </c>
      <c r="L18" s="1133">
        <v>1361885</v>
      </c>
      <c r="M18" s="1392">
        <f t="shared" si="9"/>
        <v>0.62931186653395477</v>
      </c>
      <c r="N18" s="1154"/>
      <c r="O18" s="1128">
        <v>0</v>
      </c>
      <c r="P18" s="1128">
        <v>0</v>
      </c>
      <c r="Q18" s="1128">
        <v>0</v>
      </c>
      <c r="R18" s="1128">
        <v>0</v>
      </c>
      <c r="S18" s="1138"/>
      <c r="T18" s="1138"/>
      <c r="U18" s="1138"/>
      <c r="V18" s="1138"/>
      <c r="W18" s="1138"/>
      <c r="X18" s="1138"/>
      <c r="Y18" s="1138"/>
      <c r="Z18" s="1404"/>
      <c r="AA18" s="1375">
        <f t="shared" si="2"/>
        <v>2164086</v>
      </c>
    </row>
    <row r="19" spans="1:27" s="33" customFormat="1" ht="22.9" customHeight="1" thickBot="1">
      <c r="A19" s="1143" t="s">
        <v>171</v>
      </c>
      <c r="B19" s="1144">
        <f>'5'!C154</f>
        <v>130000</v>
      </c>
      <c r="C19" s="1145"/>
      <c r="D19" s="1144">
        <f>'5'!D154</f>
        <v>0</v>
      </c>
      <c r="E19" s="1144">
        <f>'5'!E154</f>
        <v>130000</v>
      </c>
      <c r="F19" s="1144">
        <f>'5'!F154</f>
        <v>0</v>
      </c>
      <c r="G19" s="1144">
        <f>'5'!G154</f>
        <v>130000</v>
      </c>
      <c r="H19" s="1144">
        <f>'5'!H154</f>
        <v>0</v>
      </c>
      <c r="I19" s="1144">
        <f>'5'!I154</f>
        <v>130000</v>
      </c>
      <c r="J19" s="1144">
        <f>'5'!J154</f>
        <v>0</v>
      </c>
      <c r="K19" s="1144">
        <f>'5'!K154</f>
        <v>130000</v>
      </c>
      <c r="L19" s="1144"/>
      <c r="M19" s="1393">
        <f t="shared" si="9"/>
        <v>0</v>
      </c>
      <c r="N19" s="1155"/>
      <c r="O19" s="1146">
        <v>0</v>
      </c>
      <c r="P19" s="1146">
        <v>0</v>
      </c>
      <c r="Q19" s="1146">
        <v>0</v>
      </c>
      <c r="R19" s="1146">
        <v>0</v>
      </c>
      <c r="S19" s="1147"/>
      <c r="T19" s="1147"/>
      <c r="U19" s="1147"/>
      <c r="V19" s="1147"/>
      <c r="W19" s="1147"/>
      <c r="X19" s="1147"/>
      <c r="Y19" s="1147"/>
      <c r="Z19" s="1404"/>
      <c r="AA19" s="1401">
        <f t="shared" si="2"/>
        <v>130000</v>
      </c>
    </row>
    <row r="20" spans="1:27" s="33" customFormat="1" ht="40.9" customHeight="1" thickBot="1">
      <c r="A20" s="1148" t="s">
        <v>58</v>
      </c>
      <c r="B20" s="1150">
        <f t="shared" ref="B20:L20" si="15">B16+B17</f>
        <v>4549167</v>
      </c>
      <c r="C20" s="1149">
        <f t="shared" si="15"/>
        <v>0</v>
      </c>
      <c r="D20" s="1149">
        <f t="shared" si="15"/>
        <v>709601</v>
      </c>
      <c r="E20" s="1149">
        <f t="shared" si="15"/>
        <v>6220146</v>
      </c>
      <c r="F20" s="1149">
        <f t="shared" si="15"/>
        <v>1003992</v>
      </c>
      <c r="G20" s="1149">
        <f t="shared" si="15"/>
        <v>7224083</v>
      </c>
      <c r="H20" s="1149">
        <f t="shared" si="15"/>
        <v>53090</v>
      </c>
      <c r="I20" s="1149">
        <f t="shared" si="15"/>
        <v>7277173</v>
      </c>
      <c r="J20" s="1149">
        <f t="shared" si="15"/>
        <v>274717</v>
      </c>
      <c r="K20" s="1149">
        <f>K16+K17</f>
        <v>7544890</v>
      </c>
      <c r="L20" s="1149">
        <f t="shared" si="15"/>
        <v>5863628</v>
      </c>
      <c r="M20" s="1394">
        <f>L20/K20</f>
        <v>0.77716547226003296</v>
      </c>
      <c r="N20" s="1148" t="s">
        <v>59</v>
      </c>
      <c r="O20" s="1149">
        <f t="shared" ref="O20:Y20" si="16">O16+O17</f>
        <v>4549167</v>
      </c>
      <c r="P20" s="1149">
        <f t="shared" si="16"/>
        <v>133383</v>
      </c>
      <c r="Q20" s="1149" t="e">
        <f t="shared" si="16"/>
        <v>#REF!</v>
      </c>
      <c r="R20" s="1149" t="e">
        <f t="shared" si="16"/>
        <v>#REF!</v>
      </c>
      <c r="S20" s="1149" t="e">
        <f t="shared" si="16"/>
        <v>#REF!</v>
      </c>
      <c r="T20" s="1149">
        <f t="shared" si="16"/>
        <v>5324761</v>
      </c>
      <c r="U20" s="1149" t="e">
        <f t="shared" si="16"/>
        <v>#REF!</v>
      </c>
      <c r="V20" s="1149" t="e">
        <f t="shared" si="16"/>
        <v>#REF!</v>
      </c>
      <c r="W20" s="1149" t="e">
        <f t="shared" si="16"/>
        <v>#REF!</v>
      </c>
      <c r="X20" s="1149">
        <f t="shared" si="16"/>
        <v>7544890</v>
      </c>
      <c r="Y20" s="1149">
        <f t="shared" si="16"/>
        <v>4720013</v>
      </c>
      <c r="Z20" s="1406">
        <f>Y20/X20</f>
        <v>0.62559069781004095</v>
      </c>
      <c r="AA20" s="1402">
        <f>K20-X20</f>
        <v>0</v>
      </c>
    </row>
    <row r="21" spans="1:27" s="40" customFormat="1" ht="66.75" customHeight="1" thickBot="1">
      <c r="A21" s="1152" t="s">
        <v>129</v>
      </c>
      <c r="B21" s="1151">
        <f>B14-O14</f>
        <v>-1416545</v>
      </c>
      <c r="C21" s="1151">
        <f>F14-P14</f>
        <v>-9391</v>
      </c>
      <c r="D21" s="1151" t="e">
        <f>G14-Q14</f>
        <v>#REF!</v>
      </c>
      <c r="E21" s="1151" t="e">
        <f>E14-R14</f>
        <v>#REF!</v>
      </c>
      <c r="F21" s="1142" t="e">
        <f>F14-S14</f>
        <v>#REF!</v>
      </c>
      <c r="G21" s="1142">
        <f>G14-T14</f>
        <v>816265</v>
      </c>
      <c r="H21" s="1142" t="e">
        <f>H14-U14</f>
        <v>#REF!</v>
      </c>
      <c r="I21" s="1142" t="e">
        <f>I14-V14</f>
        <v>#REF!</v>
      </c>
      <c r="J21" s="1397"/>
      <c r="K21" s="1397"/>
      <c r="L21" s="1397"/>
      <c r="M21" s="1398"/>
      <c r="N21" s="475"/>
      <c r="O21" s="477"/>
      <c r="P21" s="477"/>
      <c r="Q21" s="477"/>
      <c r="R21" s="477"/>
      <c r="S21" s="477"/>
      <c r="T21" s="477"/>
      <c r="U21" s="477"/>
      <c r="V21" s="477"/>
      <c r="W21" s="477"/>
      <c r="X21" s="477"/>
      <c r="Y21" s="477"/>
      <c r="Z21" s="477"/>
      <c r="AA21" s="478"/>
    </row>
    <row r="22" spans="1:27" ht="28.5" customHeight="1">
      <c r="A22" s="41"/>
      <c r="N22" s="43"/>
      <c r="O22" s="63" t="s">
        <v>98</v>
      </c>
      <c r="R22" s="44"/>
      <c r="S22" s="44"/>
      <c r="T22" s="44"/>
      <c r="U22" s="44"/>
      <c r="V22" s="44"/>
      <c r="W22" s="44"/>
      <c r="X22" s="44"/>
      <c r="Y22" s="44"/>
      <c r="Z22" s="44"/>
    </row>
    <row r="23" spans="1:27" ht="28.5" customHeight="1">
      <c r="B23" s="42" t="s">
        <v>98</v>
      </c>
      <c r="N23" s="63" t="s">
        <v>98</v>
      </c>
      <c r="O23" s="32" t="s">
        <v>98</v>
      </c>
    </row>
    <row r="24" spans="1:27" ht="28.5" customHeight="1">
      <c r="J24" s="42" t="e">
        <f>J20-W20</f>
        <v>#REF!</v>
      </c>
    </row>
    <row r="25" spans="1:27" ht="28.5" customHeight="1"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27" ht="28.5" customHeight="1"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27" ht="28.5" customHeight="1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31" spans="1:27" ht="28.5" customHeight="1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27" ht="28.5" customHeight="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 ht="28.5" customHeight="1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 ht="28.5" customHeight="1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6" spans="1:13" ht="28.5" customHeight="1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</sheetData>
  <mergeCells count="1">
    <mergeCell ref="A1:AA1"/>
  </mergeCells>
  <phoneticPr fontId="0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54" orientation="landscape" r:id="rId1"/>
  <headerFooter alignWithMargins="0">
    <oddHeader>&amp;L&amp;"Arial,Dőlt"&amp;11 &amp;U2. melléklet a 15/2015. (V.29.) önkormányzati rendelethez</oddHeader>
    <oddFooter>&amp;C&amp;11 Nagykőrös Város Önkormányzat 2014. évi zárszámadási rendelete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G75"/>
  <sheetViews>
    <sheetView view="pageLayout" zoomScaleNormal="90" zoomScaleSheetLayoutView="70" workbookViewId="0">
      <selection activeCell="B4" sqref="B4"/>
    </sheetView>
  </sheetViews>
  <sheetFormatPr defaultColWidth="28.7109375" defaultRowHeight="15"/>
  <cols>
    <col min="1" max="1" width="11.85546875" style="362" customWidth="1"/>
    <col min="2" max="2" width="33.85546875" style="363" customWidth="1"/>
    <col min="3" max="3" width="45.85546875" style="363" customWidth="1"/>
    <col min="4" max="4" width="17.42578125" style="362" customWidth="1"/>
    <col min="5" max="5" width="17.42578125" style="363" customWidth="1"/>
    <col min="6" max="6" width="29.85546875" style="362" customWidth="1"/>
    <col min="7" max="7" width="21" style="364" customWidth="1"/>
    <col min="8" max="16384" width="28.7109375" style="358"/>
  </cols>
  <sheetData>
    <row r="1" spans="1:7" ht="39.6" customHeight="1" thickBot="1">
      <c r="A1" s="1997" t="s">
        <v>571</v>
      </c>
      <c r="B1" s="1997"/>
      <c r="C1" s="1997"/>
      <c r="D1" s="1997"/>
      <c r="E1" s="1997"/>
      <c r="F1" s="1997"/>
      <c r="G1" s="1997"/>
    </row>
    <row r="2" spans="1:7" s="359" customFormat="1" ht="50.45" customHeight="1" thickBot="1">
      <c r="A2" s="348" t="s">
        <v>797</v>
      </c>
      <c r="B2" s="137" t="s">
        <v>238</v>
      </c>
      <c r="C2" s="137" t="s">
        <v>239</v>
      </c>
      <c r="D2" s="137" t="s">
        <v>240</v>
      </c>
      <c r="E2" s="137" t="s">
        <v>241</v>
      </c>
      <c r="F2" s="137" t="s">
        <v>152</v>
      </c>
      <c r="G2" s="381" t="s">
        <v>800</v>
      </c>
    </row>
    <row r="3" spans="1:7" s="360" customFormat="1" ht="46.9" customHeight="1">
      <c r="A3" s="349" t="s">
        <v>307</v>
      </c>
      <c r="B3" s="152" t="s">
        <v>39</v>
      </c>
      <c r="C3" s="152" t="s">
        <v>573</v>
      </c>
      <c r="D3" s="378">
        <v>40493</v>
      </c>
      <c r="E3" s="378">
        <v>42004</v>
      </c>
      <c r="F3" s="379" t="s">
        <v>574</v>
      </c>
      <c r="G3" s="380">
        <f>+(60885+21600)*1.27</f>
        <v>104755.95</v>
      </c>
    </row>
    <row r="4" spans="1:7" s="360" customFormat="1" ht="98.25" customHeight="1">
      <c r="A4" s="339" t="s">
        <v>575</v>
      </c>
      <c r="B4" s="94" t="s">
        <v>576</v>
      </c>
      <c r="C4" s="94" t="s">
        <v>577</v>
      </c>
      <c r="D4" s="336">
        <v>40725</v>
      </c>
      <c r="E4" s="336" t="s">
        <v>242</v>
      </c>
      <c r="F4" s="338" t="s">
        <v>798</v>
      </c>
      <c r="G4" s="372">
        <f>2*(855000+723000)*1.27*12</f>
        <v>48097440</v>
      </c>
    </row>
    <row r="5" spans="1:7" s="360" customFormat="1" ht="46.9" customHeight="1">
      <c r="A5" s="139" t="s">
        <v>311</v>
      </c>
      <c r="B5" s="94" t="s">
        <v>312</v>
      </c>
      <c r="C5" s="94" t="s">
        <v>154</v>
      </c>
      <c r="D5" s="340">
        <v>40909</v>
      </c>
      <c r="E5" s="340">
        <v>41912</v>
      </c>
      <c r="F5" s="338" t="s">
        <v>578</v>
      </c>
      <c r="G5" s="373">
        <f>389000*12</f>
        <v>4668000</v>
      </c>
    </row>
    <row r="6" spans="1:7" s="360" customFormat="1" ht="46.9" customHeight="1">
      <c r="A6" s="339" t="s">
        <v>313</v>
      </c>
      <c r="B6" s="94" t="s">
        <v>576</v>
      </c>
      <c r="C6" s="94" t="s">
        <v>314</v>
      </c>
      <c r="D6" s="336">
        <v>40909</v>
      </c>
      <c r="E6" s="336">
        <v>44561</v>
      </c>
      <c r="F6" s="338" t="s">
        <v>315</v>
      </c>
      <c r="G6" s="372">
        <v>4500000</v>
      </c>
    </row>
    <row r="7" spans="1:7" s="360" customFormat="1" ht="46.9" customHeight="1">
      <c r="A7" s="337" t="s">
        <v>579</v>
      </c>
      <c r="B7" s="94" t="s">
        <v>316</v>
      </c>
      <c r="C7" s="94" t="s">
        <v>317</v>
      </c>
      <c r="D7" s="336">
        <v>39178</v>
      </c>
      <c r="E7" s="336" t="s">
        <v>242</v>
      </c>
      <c r="F7" s="361" t="s">
        <v>580</v>
      </c>
      <c r="G7" s="372">
        <f>12*23955</f>
        <v>287460</v>
      </c>
    </row>
    <row r="8" spans="1:7" s="360" customFormat="1" ht="46.9" customHeight="1">
      <c r="A8" s="339" t="s">
        <v>581</v>
      </c>
      <c r="B8" s="94" t="s">
        <v>576</v>
      </c>
      <c r="C8" s="94" t="s">
        <v>582</v>
      </c>
      <c r="D8" s="336">
        <v>41065</v>
      </c>
      <c r="E8" s="336" t="s">
        <v>242</v>
      </c>
      <c r="F8" s="338" t="s">
        <v>583</v>
      </c>
      <c r="G8" s="372">
        <v>2008000</v>
      </c>
    </row>
    <row r="9" spans="1:7" s="360" customFormat="1" ht="46.9" customHeight="1">
      <c r="A9" s="339" t="s">
        <v>308</v>
      </c>
      <c r="B9" s="94" t="s">
        <v>309</v>
      </c>
      <c r="C9" s="94" t="s">
        <v>310</v>
      </c>
      <c r="D9" s="336">
        <v>41275</v>
      </c>
      <c r="E9" s="336" t="s">
        <v>242</v>
      </c>
      <c r="F9" s="338" t="s">
        <v>564</v>
      </c>
      <c r="G9" s="372">
        <f>525000*1.27*4</f>
        <v>2667000</v>
      </c>
    </row>
    <row r="10" spans="1:7" s="360" customFormat="1" ht="46.9" customHeight="1">
      <c r="A10" s="339" t="s">
        <v>584</v>
      </c>
      <c r="B10" s="94" t="s">
        <v>576</v>
      </c>
      <c r="C10" s="94" t="s">
        <v>585</v>
      </c>
      <c r="D10" s="336">
        <v>41275</v>
      </c>
      <c r="E10" s="336">
        <v>42369</v>
      </c>
      <c r="F10" s="338" t="s">
        <v>586</v>
      </c>
      <c r="G10" s="372">
        <f>9870769-207024+153930</f>
        <v>9817675</v>
      </c>
    </row>
    <row r="11" spans="1:7" s="360" customFormat="1" ht="46.9" customHeight="1">
      <c r="A11" s="339" t="s">
        <v>587</v>
      </c>
      <c r="B11" s="94" t="s">
        <v>588</v>
      </c>
      <c r="C11" s="94" t="s">
        <v>589</v>
      </c>
      <c r="D11" s="336">
        <v>41334</v>
      </c>
      <c r="E11" s="336" t="s">
        <v>242</v>
      </c>
      <c r="F11" s="338" t="s">
        <v>590</v>
      </c>
      <c r="G11" s="372">
        <f>110236*1.27</f>
        <v>139999.72</v>
      </c>
    </row>
    <row r="12" spans="1:7" s="360" customFormat="1" ht="46.9" customHeight="1" thickBot="1">
      <c r="A12" s="374" t="s">
        <v>591</v>
      </c>
      <c r="B12" s="375" t="s">
        <v>592</v>
      </c>
      <c r="C12" s="375" t="s">
        <v>593</v>
      </c>
      <c r="D12" s="376">
        <v>41197</v>
      </c>
      <c r="E12" s="376">
        <v>43023</v>
      </c>
      <c r="F12" s="767" t="s">
        <v>594</v>
      </c>
      <c r="G12" s="377">
        <f>12*52796</f>
        <v>633552</v>
      </c>
    </row>
    <row r="13" spans="1:7" s="360" customFormat="1" ht="45" customHeight="1">
      <c r="A13" s="768" t="s">
        <v>595</v>
      </c>
      <c r="B13" s="769" t="s">
        <v>596</v>
      </c>
      <c r="C13" s="769" t="s">
        <v>597</v>
      </c>
      <c r="D13" s="770">
        <v>41358</v>
      </c>
      <c r="E13" s="770">
        <v>43184</v>
      </c>
      <c r="F13" s="771" t="s">
        <v>598</v>
      </c>
      <c r="G13" s="772">
        <f>246380*12</f>
        <v>2956560</v>
      </c>
    </row>
    <row r="14" spans="1:7" s="360" customFormat="1" ht="45" customHeight="1">
      <c r="A14" s="339" t="s">
        <v>599</v>
      </c>
      <c r="B14" s="94" t="s">
        <v>576</v>
      </c>
      <c r="C14" s="94" t="s">
        <v>600</v>
      </c>
      <c r="D14" s="336">
        <v>41358</v>
      </c>
      <c r="E14" s="336" t="s">
        <v>242</v>
      </c>
      <c r="F14" s="338" t="s">
        <v>601</v>
      </c>
      <c r="G14" s="372">
        <v>4000000</v>
      </c>
    </row>
    <row r="15" spans="1:7" s="360" customFormat="1" ht="45" customHeight="1">
      <c r="A15" s="339" t="s">
        <v>602</v>
      </c>
      <c r="B15" s="94" t="s">
        <v>603</v>
      </c>
      <c r="C15" s="94" t="s">
        <v>168</v>
      </c>
      <c r="D15" s="336">
        <v>41432</v>
      </c>
      <c r="E15" s="336">
        <v>42161</v>
      </c>
      <c r="F15" s="361" t="s">
        <v>565</v>
      </c>
      <c r="G15" s="372">
        <v>0</v>
      </c>
    </row>
    <row r="16" spans="1:7" s="360" customFormat="1" ht="45" customHeight="1">
      <c r="A16" s="339" t="s">
        <v>604</v>
      </c>
      <c r="B16" s="94" t="s">
        <v>605</v>
      </c>
      <c r="C16" s="94" t="s">
        <v>606</v>
      </c>
      <c r="D16" s="336">
        <v>37895</v>
      </c>
      <c r="E16" s="336" t="s">
        <v>242</v>
      </c>
      <c r="F16" s="361" t="s">
        <v>315</v>
      </c>
      <c r="G16" s="372">
        <v>1200000</v>
      </c>
    </row>
    <row r="17" spans="1:7" s="360" customFormat="1" ht="45" customHeight="1">
      <c r="A17" s="339" t="s">
        <v>607</v>
      </c>
      <c r="B17" s="94" t="s">
        <v>576</v>
      </c>
      <c r="C17" s="94" t="s">
        <v>608</v>
      </c>
      <c r="D17" s="336">
        <v>41507</v>
      </c>
      <c r="E17" s="336" t="s">
        <v>242</v>
      </c>
      <c r="F17" s="361" t="s">
        <v>315</v>
      </c>
      <c r="G17" s="372">
        <v>500000</v>
      </c>
    </row>
    <row r="18" spans="1:7" s="360" customFormat="1" ht="45" customHeight="1">
      <c r="A18" s="339" t="s">
        <v>609</v>
      </c>
      <c r="B18" s="94" t="s">
        <v>610</v>
      </c>
      <c r="C18" s="94" t="s">
        <v>611</v>
      </c>
      <c r="D18" s="336">
        <v>39802</v>
      </c>
      <c r="E18" s="336" t="s">
        <v>242</v>
      </c>
      <c r="F18" s="361" t="s">
        <v>315</v>
      </c>
      <c r="G18" s="372">
        <v>500000</v>
      </c>
    </row>
    <row r="19" spans="1:7" s="360" customFormat="1" ht="45" customHeight="1">
      <c r="A19" s="339" t="s">
        <v>612</v>
      </c>
      <c r="B19" s="94" t="s">
        <v>613</v>
      </c>
      <c r="C19" s="94" t="s">
        <v>614</v>
      </c>
      <c r="D19" s="336">
        <v>41515</v>
      </c>
      <c r="E19" s="336">
        <v>42078</v>
      </c>
      <c r="F19" s="361" t="s">
        <v>615</v>
      </c>
      <c r="G19" s="372">
        <f>14490000*1.27</f>
        <v>18402300</v>
      </c>
    </row>
    <row r="20" spans="1:7" s="360" customFormat="1" ht="45" customHeight="1">
      <c r="A20" s="339" t="s">
        <v>616</v>
      </c>
      <c r="B20" s="94" t="s">
        <v>617</v>
      </c>
      <c r="C20" s="94" t="s">
        <v>614</v>
      </c>
      <c r="D20" s="336">
        <v>41516</v>
      </c>
      <c r="E20" s="336">
        <v>42078</v>
      </c>
      <c r="F20" s="361" t="s">
        <v>618</v>
      </c>
      <c r="G20" s="372">
        <f>2896400*1.27</f>
        <v>3678428</v>
      </c>
    </row>
    <row r="21" spans="1:7" s="360" customFormat="1" ht="82.5" customHeight="1">
      <c r="A21" s="339" t="s">
        <v>619</v>
      </c>
      <c r="B21" s="94" t="s">
        <v>620</v>
      </c>
      <c r="C21" s="94" t="s">
        <v>621</v>
      </c>
      <c r="D21" s="336">
        <v>40283</v>
      </c>
      <c r="E21" s="336" t="s">
        <v>242</v>
      </c>
      <c r="F21" s="361" t="s">
        <v>799</v>
      </c>
      <c r="G21" s="372">
        <f>(392000+90000)*1.27</f>
        <v>612140</v>
      </c>
    </row>
    <row r="22" spans="1:7" s="360" customFormat="1" ht="45" customHeight="1">
      <c r="A22" s="339" t="s">
        <v>622</v>
      </c>
      <c r="B22" s="94" t="s">
        <v>620</v>
      </c>
      <c r="C22" s="94" t="s">
        <v>623</v>
      </c>
      <c r="D22" s="336">
        <v>39653</v>
      </c>
      <c r="E22" s="336" t="s">
        <v>242</v>
      </c>
      <c r="F22" s="361" t="s">
        <v>624</v>
      </c>
      <c r="G22" s="372">
        <f>252441*1.27</f>
        <v>320600.07</v>
      </c>
    </row>
    <row r="23" spans="1:7" s="360" customFormat="1" ht="45" customHeight="1">
      <c r="A23" s="339" t="s">
        <v>625</v>
      </c>
      <c r="B23" s="94" t="s">
        <v>620</v>
      </c>
      <c r="C23" s="94" t="s">
        <v>626</v>
      </c>
      <c r="D23" s="336">
        <v>39653</v>
      </c>
      <c r="E23" s="336" t="s">
        <v>242</v>
      </c>
      <c r="F23" s="361" t="s">
        <v>563</v>
      </c>
      <c r="G23" s="372">
        <f>337500*1.27</f>
        <v>428625</v>
      </c>
    </row>
    <row r="24" spans="1:7" s="360" customFormat="1" ht="45" customHeight="1">
      <c r="A24" s="339" t="s">
        <v>627</v>
      </c>
      <c r="B24" s="94" t="s">
        <v>628</v>
      </c>
      <c r="C24" s="94" t="s">
        <v>629</v>
      </c>
      <c r="D24" s="336">
        <v>41393</v>
      </c>
      <c r="E24" s="336">
        <v>43738</v>
      </c>
      <c r="F24" s="361" t="s">
        <v>630</v>
      </c>
      <c r="G24" s="372">
        <f>2650440*4</f>
        <v>10601760</v>
      </c>
    </row>
    <row r="25" spans="1:7" s="360" customFormat="1" ht="45" customHeight="1" thickBot="1">
      <c r="A25" s="374" t="s">
        <v>631</v>
      </c>
      <c r="B25" s="375" t="s">
        <v>632</v>
      </c>
      <c r="C25" s="375" t="s">
        <v>168</v>
      </c>
      <c r="D25" s="376">
        <v>41631</v>
      </c>
      <c r="E25" s="376">
        <v>42360</v>
      </c>
      <c r="F25" s="343">
        <v>300000</v>
      </c>
      <c r="G25" s="377">
        <v>0</v>
      </c>
    </row>
    <row r="27" spans="1:7" s="360" customFormat="1" ht="39.6" customHeight="1" thickBot="1">
      <c r="A27" s="1998" t="s">
        <v>633</v>
      </c>
      <c r="B27" s="1998"/>
      <c r="C27" s="1998"/>
      <c r="D27" s="1998"/>
      <c r="E27" s="1998"/>
      <c r="F27" s="1998"/>
      <c r="G27" s="1998"/>
    </row>
    <row r="28" spans="1:7" s="359" customFormat="1" ht="49.15" customHeight="1" thickBot="1">
      <c r="A28" s="344" t="s">
        <v>572</v>
      </c>
      <c r="B28" s="582" t="s">
        <v>238</v>
      </c>
      <c r="C28" s="137" t="s">
        <v>239</v>
      </c>
      <c r="D28" s="137" t="s">
        <v>240</v>
      </c>
      <c r="E28" s="137" t="s">
        <v>241</v>
      </c>
      <c r="F28" s="137" t="s">
        <v>152</v>
      </c>
      <c r="G28" s="583" t="s">
        <v>634</v>
      </c>
    </row>
    <row r="29" spans="1:7" s="360" customFormat="1" ht="33" customHeight="1">
      <c r="A29" s="385" t="s">
        <v>635</v>
      </c>
      <c r="B29" s="382" t="s">
        <v>636</v>
      </c>
      <c r="C29" s="152" t="s">
        <v>637</v>
      </c>
      <c r="D29" s="378">
        <v>38398</v>
      </c>
      <c r="E29" s="383" t="s">
        <v>242</v>
      </c>
      <c r="F29" s="384" t="s">
        <v>638</v>
      </c>
      <c r="G29" s="386">
        <f>39200*4*1.27</f>
        <v>199136</v>
      </c>
    </row>
    <row r="30" spans="1:7" s="360" customFormat="1" ht="33" customHeight="1">
      <c r="A30" s="387" t="s">
        <v>639</v>
      </c>
      <c r="B30" s="365" t="s">
        <v>640</v>
      </c>
      <c r="C30" s="94" t="s">
        <v>641</v>
      </c>
      <c r="D30" s="336">
        <v>37622</v>
      </c>
      <c r="E30" s="366" t="s">
        <v>242</v>
      </c>
      <c r="F30" s="367" t="s">
        <v>642</v>
      </c>
      <c r="G30" s="373" t="s">
        <v>643</v>
      </c>
    </row>
    <row r="31" spans="1:7" s="360" customFormat="1" ht="33" customHeight="1">
      <c r="A31" s="387" t="s">
        <v>644</v>
      </c>
      <c r="B31" s="365" t="s">
        <v>645</v>
      </c>
      <c r="C31" s="94" t="s">
        <v>646</v>
      </c>
      <c r="D31" s="336">
        <v>41407</v>
      </c>
      <c r="E31" s="366" t="s">
        <v>242</v>
      </c>
      <c r="F31" s="367" t="s">
        <v>647</v>
      </c>
      <c r="G31" s="373">
        <v>52200</v>
      </c>
    </row>
    <row r="32" spans="1:7" s="360" customFormat="1" ht="33" customHeight="1">
      <c r="A32" s="387" t="s">
        <v>648</v>
      </c>
      <c r="B32" s="365" t="s">
        <v>645</v>
      </c>
      <c r="C32" s="94" t="s">
        <v>649</v>
      </c>
      <c r="D32" s="336">
        <v>41291</v>
      </c>
      <c r="E32" s="366" t="s">
        <v>242</v>
      </c>
      <c r="F32" s="367" t="s">
        <v>650</v>
      </c>
      <c r="G32" s="373">
        <v>34476</v>
      </c>
    </row>
    <row r="33" spans="1:7" s="360" customFormat="1" ht="33" customHeight="1">
      <c r="A33" s="387" t="s">
        <v>651</v>
      </c>
      <c r="B33" s="365" t="s">
        <v>645</v>
      </c>
      <c r="C33" s="94" t="s">
        <v>652</v>
      </c>
      <c r="D33" s="336">
        <v>41554</v>
      </c>
      <c r="E33" s="366" t="s">
        <v>242</v>
      </c>
      <c r="F33" s="367" t="s">
        <v>653</v>
      </c>
      <c r="G33" s="373">
        <v>27768</v>
      </c>
    </row>
    <row r="34" spans="1:7" s="360" customFormat="1" ht="33" customHeight="1">
      <c r="A34" s="387" t="s">
        <v>654</v>
      </c>
      <c r="B34" s="365" t="s">
        <v>655</v>
      </c>
      <c r="C34" s="94" t="s">
        <v>656</v>
      </c>
      <c r="D34" s="336">
        <v>39903</v>
      </c>
      <c r="E34" s="366" t="s">
        <v>242</v>
      </c>
      <c r="F34" s="367" t="s">
        <v>657</v>
      </c>
      <c r="G34" s="373">
        <f>3*7174+9*6449</f>
        <v>79563</v>
      </c>
    </row>
    <row r="35" spans="1:7" s="360" customFormat="1" ht="45" customHeight="1">
      <c r="A35" s="387" t="s">
        <v>658</v>
      </c>
      <c r="B35" s="365" t="s">
        <v>659</v>
      </c>
      <c r="C35" s="94" t="s">
        <v>660</v>
      </c>
      <c r="D35" s="336">
        <v>38902</v>
      </c>
      <c r="E35" s="366" t="s">
        <v>242</v>
      </c>
      <c r="F35" s="367" t="s">
        <v>153</v>
      </c>
      <c r="G35" s="373">
        <v>1000000</v>
      </c>
    </row>
    <row r="36" spans="1:7" s="360" customFormat="1" ht="45" customHeight="1">
      <c r="A36" s="387" t="s">
        <v>661</v>
      </c>
      <c r="B36" s="365" t="s">
        <v>659</v>
      </c>
      <c r="C36" s="94" t="s">
        <v>662</v>
      </c>
      <c r="D36" s="336">
        <v>38902</v>
      </c>
      <c r="E36" s="366" t="s">
        <v>242</v>
      </c>
      <c r="F36" s="367" t="s">
        <v>153</v>
      </c>
      <c r="G36" s="373">
        <v>1000000</v>
      </c>
    </row>
    <row r="37" spans="1:7" s="360" customFormat="1" ht="46.5" customHeight="1">
      <c r="A37" s="387" t="s">
        <v>663</v>
      </c>
      <c r="B37" s="365" t="s">
        <v>664</v>
      </c>
      <c r="C37" s="94" t="s">
        <v>665</v>
      </c>
      <c r="D37" s="336">
        <v>40234</v>
      </c>
      <c r="E37" s="366" t="s">
        <v>242</v>
      </c>
      <c r="F37" s="367" t="s">
        <v>666</v>
      </c>
      <c r="G37" s="373">
        <f>34797*1.27</f>
        <v>44192.19</v>
      </c>
    </row>
    <row r="38" spans="1:7" s="360" customFormat="1" ht="33" customHeight="1">
      <c r="A38" s="387" t="s">
        <v>667</v>
      </c>
      <c r="B38" s="365" t="s">
        <v>668</v>
      </c>
      <c r="C38" s="94" t="s">
        <v>669</v>
      </c>
      <c r="D38" s="336">
        <v>41122</v>
      </c>
      <c r="E38" s="366" t="s">
        <v>242</v>
      </c>
      <c r="F38" s="367" t="s">
        <v>670</v>
      </c>
      <c r="G38" s="373">
        <f>121360*1.27</f>
        <v>154127.20000000001</v>
      </c>
    </row>
    <row r="39" spans="1:7" s="360" customFormat="1" ht="33" customHeight="1">
      <c r="A39" s="387" t="s">
        <v>671</v>
      </c>
      <c r="B39" s="365" t="s">
        <v>668</v>
      </c>
      <c r="C39" s="94" t="s">
        <v>672</v>
      </c>
      <c r="D39" s="336">
        <v>41153</v>
      </c>
      <c r="E39" s="366" t="s">
        <v>242</v>
      </c>
      <c r="F39" s="367" t="s">
        <v>673</v>
      </c>
      <c r="G39" s="373">
        <f>520044*1.27</f>
        <v>660455.88</v>
      </c>
    </row>
    <row r="40" spans="1:7" s="360" customFormat="1" ht="33" customHeight="1">
      <c r="A40" s="387" t="s">
        <v>674</v>
      </c>
      <c r="B40" s="365" t="s">
        <v>675</v>
      </c>
      <c r="C40" s="94" t="s">
        <v>676</v>
      </c>
      <c r="D40" s="336">
        <v>40016</v>
      </c>
      <c r="E40" s="366" t="s">
        <v>242</v>
      </c>
      <c r="F40" s="367" t="s">
        <v>153</v>
      </c>
      <c r="G40" s="373">
        <v>50000</v>
      </c>
    </row>
    <row r="41" spans="1:7" s="360" customFormat="1" ht="33" customHeight="1">
      <c r="A41" s="387" t="s">
        <v>677</v>
      </c>
      <c r="B41" s="365" t="s">
        <v>309</v>
      </c>
      <c r="C41" s="94" t="s">
        <v>678</v>
      </c>
      <c r="D41" s="336">
        <v>41275</v>
      </c>
      <c r="E41" s="366" t="s">
        <v>242</v>
      </c>
      <c r="F41" s="367" t="s">
        <v>679</v>
      </c>
      <c r="G41" s="373">
        <f>4*100000*1.27</f>
        <v>508000</v>
      </c>
    </row>
    <row r="42" spans="1:7" s="360" customFormat="1" ht="38.25" customHeight="1">
      <c r="A42" s="387" t="s">
        <v>680</v>
      </c>
      <c r="B42" s="365" t="s">
        <v>681</v>
      </c>
      <c r="C42" s="94" t="s">
        <v>682</v>
      </c>
      <c r="D42" s="336">
        <v>40689</v>
      </c>
      <c r="E42" s="366" t="s">
        <v>242</v>
      </c>
      <c r="F42" s="368" t="s">
        <v>683</v>
      </c>
      <c r="G42" s="373">
        <f>174720*1.27</f>
        <v>221894.39999999999</v>
      </c>
    </row>
    <row r="43" spans="1:7" s="360" customFormat="1" ht="33" customHeight="1" thickBot="1">
      <c r="A43" s="389" t="s">
        <v>684</v>
      </c>
      <c r="B43" s="390" t="s">
        <v>685</v>
      </c>
      <c r="C43" s="375" t="s">
        <v>686</v>
      </c>
      <c r="D43" s="376">
        <v>39814</v>
      </c>
      <c r="E43" s="391" t="s">
        <v>242</v>
      </c>
      <c r="F43" s="392" t="s">
        <v>687</v>
      </c>
      <c r="G43" s="393">
        <f>81900*1.27</f>
        <v>104013</v>
      </c>
    </row>
    <row r="44" spans="1:7" s="360" customFormat="1" ht="33" customHeight="1">
      <c r="A44" s="773" t="s">
        <v>688</v>
      </c>
      <c r="B44" s="774" t="s">
        <v>689</v>
      </c>
      <c r="C44" s="769" t="s">
        <v>690</v>
      </c>
      <c r="D44" s="770">
        <v>37135</v>
      </c>
      <c r="E44" s="775" t="s">
        <v>242</v>
      </c>
      <c r="F44" s="776" t="s">
        <v>153</v>
      </c>
      <c r="G44" s="777">
        <f>200000*1.27</f>
        <v>254000</v>
      </c>
    </row>
    <row r="45" spans="1:7" s="360" customFormat="1" ht="33" customHeight="1">
      <c r="A45" s="387" t="s">
        <v>602</v>
      </c>
      <c r="B45" s="365" t="s">
        <v>691</v>
      </c>
      <c r="C45" s="94" t="s">
        <v>692</v>
      </c>
      <c r="D45" s="336">
        <v>40260</v>
      </c>
      <c r="E45" s="366" t="s">
        <v>242</v>
      </c>
      <c r="F45" s="367" t="s">
        <v>693</v>
      </c>
      <c r="G45" s="373">
        <f>12760*1.27</f>
        <v>16205.2</v>
      </c>
    </row>
    <row r="46" spans="1:7" s="360" customFormat="1" ht="33" customHeight="1">
      <c r="A46" s="387" t="s">
        <v>609</v>
      </c>
      <c r="B46" s="365" t="s">
        <v>694</v>
      </c>
      <c r="C46" s="94" t="s">
        <v>695</v>
      </c>
      <c r="D46" s="336">
        <v>41821</v>
      </c>
      <c r="E46" s="369">
        <v>42186</v>
      </c>
      <c r="F46" s="367" t="s">
        <v>153</v>
      </c>
      <c r="G46" s="373">
        <v>1016000</v>
      </c>
    </row>
    <row r="47" spans="1:7" s="360" customFormat="1" ht="33" customHeight="1">
      <c r="A47" s="387" t="s">
        <v>696</v>
      </c>
      <c r="B47" s="365" t="s">
        <v>697</v>
      </c>
      <c r="C47" s="94" t="s">
        <v>698</v>
      </c>
      <c r="D47" s="336">
        <v>38718</v>
      </c>
      <c r="E47" s="366" t="s">
        <v>242</v>
      </c>
      <c r="F47" s="367" t="s">
        <v>699</v>
      </c>
      <c r="G47" s="373">
        <f>499555*4</f>
        <v>1998220</v>
      </c>
    </row>
    <row r="48" spans="1:7" s="360" customFormat="1" ht="45" customHeight="1">
      <c r="A48" s="387" t="s">
        <v>700</v>
      </c>
      <c r="B48" s="365" t="s">
        <v>701</v>
      </c>
      <c r="C48" s="94" t="s">
        <v>702</v>
      </c>
      <c r="D48" s="336">
        <v>38047</v>
      </c>
      <c r="E48" s="366" t="s">
        <v>242</v>
      </c>
      <c r="F48" s="367" t="s">
        <v>703</v>
      </c>
      <c r="G48" s="373">
        <f>64797*1.27*4</f>
        <v>329168.76</v>
      </c>
    </row>
    <row r="49" spans="1:7" s="360" customFormat="1" ht="33" customHeight="1">
      <c r="A49" s="387" t="s">
        <v>704</v>
      </c>
      <c r="B49" s="365" t="s">
        <v>705</v>
      </c>
      <c r="C49" s="94" t="s">
        <v>706</v>
      </c>
      <c r="D49" s="336">
        <v>41275</v>
      </c>
      <c r="E49" s="366" t="s">
        <v>242</v>
      </c>
      <c r="F49" s="367" t="s">
        <v>707</v>
      </c>
      <c r="G49" s="373">
        <f>61200*1.27</f>
        <v>77724</v>
      </c>
    </row>
    <row r="50" spans="1:7" s="360" customFormat="1" ht="33" customHeight="1">
      <c r="A50" s="387" t="s">
        <v>708</v>
      </c>
      <c r="B50" s="365" t="s">
        <v>709</v>
      </c>
      <c r="C50" s="94" t="s">
        <v>710</v>
      </c>
      <c r="D50" s="336">
        <v>41582</v>
      </c>
      <c r="E50" s="366" t="s">
        <v>242</v>
      </c>
      <c r="F50" s="367" t="s">
        <v>711</v>
      </c>
      <c r="G50" s="373">
        <f>6000*1.27*12</f>
        <v>91440</v>
      </c>
    </row>
    <row r="51" spans="1:7" s="360" customFormat="1" ht="33" customHeight="1">
      <c r="A51" s="387" t="s">
        <v>712</v>
      </c>
      <c r="B51" s="365" t="s">
        <v>713</v>
      </c>
      <c r="C51" s="94" t="s">
        <v>714</v>
      </c>
      <c r="D51" s="336">
        <v>40544</v>
      </c>
      <c r="E51" s="366" t="s">
        <v>242</v>
      </c>
      <c r="F51" s="367" t="s">
        <v>715</v>
      </c>
      <c r="G51" s="373">
        <f>6778*4</f>
        <v>27112</v>
      </c>
    </row>
    <row r="52" spans="1:7" s="360" customFormat="1" ht="33" customHeight="1">
      <c r="A52" s="387" t="s">
        <v>716</v>
      </c>
      <c r="B52" s="365" t="s">
        <v>717</v>
      </c>
      <c r="C52" s="94" t="s">
        <v>718</v>
      </c>
      <c r="D52" s="336">
        <v>39709</v>
      </c>
      <c r="E52" s="366" t="s">
        <v>242</v>
      </c>
      <c r="F52" s="367" t="s">
        <v>719</v>
      </c>
      <c r="G52" s="373">
        <f>86900*1.27*12</f>
        <v>1324356</v>
      </c>
    </row>
    <row r="53" spans="1:7" s="360" customFormat="1" ht="33" customHeight="1">
      <c r="A53" s="387" t="s">
        <v>720</v>
      </c>
      <c r="B53" s="365" t="s">
        <v>576</v>
      </c>
      <c r="C53" s="94" t="s">
        <v>721</v>
      </c>
      <c r="D53" s="336">
        <v>39924</v>
      </c>
      <c r="E53" s="366" t="s">
        <v>242</v>
      </c>
      <c r="F53" s="367" t="s">
        <v>722</v>
      </c>
      <c r="G53" s="373">
        <f>+(6418+5264)*12*1.27-2</f>
        <v>178031.68</v>
      </c>
    </row>
    <row r="54" spans="1:7" s="360" customFormat="1" ht="33" customHeight="1">
      <c r="A54" s="387" t="s">
        <v>723</v>
      </c>
      <c r="B54" s="365" t="s">
        <v>724</v>
      </c>
      <c r="C54" s="94" t="s">
        <v>725</v>
      </c>
      <c r="D54" s="336">
        <v>37987</v>
      </c>
      <c r="E54" s="366" t="s">
        <v>242</v>
      </c>
      <c r="F54" s="367" t="s">
        <v>726</v>
      </c>
      <c r="G54" s="373">
        <f>4*48000*1.27</f>
        <v>243840</v>
      </c>
    </row>
    <row r="55" spans="1:7" s="360" customFormat="1" ht="33" customHeight="1">
      <c r="A55" s="387" t="s">
        <v>727</v>
      </c>
      <c r="B55" s="365" t="s">
        <v>728</v>
      </c>
      <c r="C55" s="94" t="s">
        <v>729</v>
      </c>
      <c r="D55" s="336">
        <v>39083</v>
      </c>
      <c r="E55" s="366" t="s">
        <v>242</v>
      </c>
      <c r="F55" s="367" t="s">
        <v>153</v>
      </c>
      <c r="G55" s="373">
        <v>9162000</v>
      </c>
    </row>
    <row r="56" spans="1:7" s="360" customFormat="1" ht="33" customHeight="1">
      <c r="A56" s="387" t="s">
        <v>730</v>
      </c>
      <c r="B56" s="365" t="s">
        <v>731</v>
      </c>
      <c r="C56" s="94" t="s">
        <v>732</v>
      </c>
      <c r="D56" s="336">
        <v>41254</v>
      </c>
      <c r="E56" s="366" t="s">
        <v>242</v>
      </c>
      <c r="F56" s="367" t="s">
        <v>733</v>
      </c>
      <c r="G56" s="373">
        <f>13900*1.27*12</f>
        <v>211836</v>
      </c>
    </row>
    <row r="57" spans="1:7" s="360" customFormat="1" ht="33" customHeight="1">
      <c r="A57" s="388" t="s">
        <v>734</v>
      </c>
      <c r="B57" s="365" t="s">
        <v>731</v>
      </c>
      <c r="C57" s="94" t="s">
        <v>735</v>
      </c>
      <c r="D57" s="336" t="s">
        <v>736</v>
      </c>
      <c r="E57" s="366" t="s">
        <v>242</v>
      </c>
      <c r="F57" s="367" t="s">
        <v>153</v>
      </c>
      <c r="G57" s="373">
        <v>914400</v>
      </c>
    </row>
    <row r="58" spans="1:7" s="360" customFormat="1" ht="33" customHeight="1">
      <c r="A58" s="387" t="s">
        <v>737</v>
      </c>
      <c r="B58" s="365" t="s">
        <v>731</v>
      </c>
      <c r="C58" s="94" t="s">
        <v>738</v>
      </c>
      <c r="D58" s="336">
        <v>39958</v>
      </c>
      <c r="E58" s="366" t="s">
        <v>242</v>
      </c>
      <c r="F58" s="367" t="s">
        <v>739</v>
      </c>
      <c r="G58" s="373">
        <f>9500*1.27*12</f>
        <v>144780</v>
      </c>
    </row>
    <row r="59" spans="1:7" s="360" customFormat="1" ht="33" customHeight="1">
      <c r="A59" s="387" t="s">
        <v>740</v>
      </c>
      <c r="B59" s="365" t="s">
        <v>731</v>
      </c>
      <c r="C59" s="94" t="s">
        <v>741</v>
      </c>
      <c r="D59" s="336">
        <v>39958</v>
      </c>
      <c r="E59" s="366" t="s">
        <v>242</v>
      </c>
      <c r="F59" s="367" t="s">
        <v>742</v>
      </c>
      <c r="G59" s="373">
        <f>16500*1.27*12</f>
        <v>251460</v>
      </c>
    </row>
    <row r="60" spans="1:7" s="360" customFormat="1" ht="33" customHeight="1">
      <c r="A60" s="387" t="s">
        <v>743</v>
      </c>
      <c r="B60" s="365" t="s">
        <v>731</v>
      </c>
      <c r="C60" s="94" t="s">
        <v>744</v>
      </c>
      <c r="D60" s="336">
        <v>40055</v>
      </c>
      <c r="E60" s="366" t="s">
        <v>242</v>
      </c>
      <c r="F60" s="367" t="s">
        <v>153</v>
      </c>
      <c r="G60" s="373">
        <v>609600</v>
      </c>
    </row>
    <row r="61" spans="1:7" s="360" customFormat="1" ht="33" customHeight="1">
      <c r="A61" s="387" t="s">
        <v>745</v>
      </c>
      <c r="B61" s="365" t="s">
        <v>746</v>
      </c>
      <c r="C61" s="94" t="s">
        <v>747</v>
      </c>
      <c r="D61" s="336">
        <v>39881</v>
      </c>
      <c r="E61" s="366" t="s">
        <v>242</v>
      </c>
      <c r="F61" s="367" t="s">
        <v>748</v>
      </c>
      <c r="G61" s="373">
        <f>23880*1.27</f>
        <v>30327.600000000002</v>
      </c>
    </row>
    <row r="62" spans="1:7" s="360" customFormat="1" ht="33" customHeight="1" thickBot="1">
      <c r="A62" s="389" t="s">
        <v>749</v>
      </c>
      <c r="B62" s="390" t="s">
        <v>750</v>
      </c>
      <c r="C62" s="375" t="s">
        <v>751</v>
      </c>
      <c r="D62" s="376">
        <v>40491</v>
      </c>
      <c r="E62" s="391" t="s">
        <v>242</v>
      </c>
      <c r="F62" s="392" t="s">
        <v>752</v>
      </c>
      <c r="G62" s="393">
        <f>12*3700*1.27</f>
        <v>56388</v>
      </c>
    </row>
    <row r="63" spans="1:7" s="360" customFormat="1" ht="33" customHeight="1">
      <c r="A63" s="773" t="s">
        <v>753</v>
      </c>
      <c r="B63" s="774" t="s">
        <v>754</v>
      </c>
      <c r="C63" s="769" t="s">
        <v>755</v>
      </c>
      <c r="D63" s="770">
        <v>35478</v>
      </c>
      <c r="E63" s="775" t="s">
        <v>242</v>
      </c>
      <c r="F63" s="776" t="s">
        <v>153</v>
      </c>
      <c r="G63" s="777">
        <v>800000</v>
      </c>
    </row>
    <row r="64" spans="1:7" s="360" customFormat="1" ht="33" customHeight="1">
      <c r="A64" s="387" t="s">
        <v>625</v>
      </c>
      <c r="B64" s="365" t="s">
        <v>756</v>
      </c>
      <c r="C64" s="94" t="s">
        <v>757</v>
      </c>
      <c r="D64" s="336">
        <v>36696</v>
      </c>
      <c r="E64" s="366" t="s">
        <v>242</v>
      </c>
      <c r="F64" s="367" t="s">
        <v>153</v>
      </c>
      <c r="G64" s="373">
        <v>2286000</v>
      </c>
    </row>
    <row r="65" spans="1:7" s="360" customFormat="1" ht="33" customHeight="1">
      <c r="A65" s="387" t="s">
        <v>758</v>
      </c>
      <c r="B65" s="365" t="s">
        <v>759</v>
      </c>
      <c r="C65" s="94" t="s">
        <v>760</v>
      </c>
      <c r="D65" s="336">
        <v>41135</v>
      </c>
      <c r="E65" s="366" t="s">
        <v>242</v>
      </c>
      <c r="F65" s="367" t="s">
        <v>761</v>
      </c>
      <c r="G65" s="373">
        <v>100</v>
      </c>
    </row>
    <row r="66" spans="1:7" s="360" customFormat="1" ht="33" customHeight="1">
      <c r="A66" s="387" t="s">
        <v>762</v>
      </c>
      <c r="B66" s="365" t="s">
        <v>763</v>
      </c>
      <c r="C66" s="94" t="s">
        <v>764</v>
      </c>
      <c r="D66" s="336">
        <v>38353</v>
      </c>
      <c r="E66" s="366" t="s">
        <v>242</v>
      </c>
      <c r="F66" s="367" t="s">
        <v>765</v>
      </c>
      <c r="G66" s="373">
        <f>124200*1.27*12</f>
        <v>1892808</v>
      </c>
    </row>
    <row r="67" spans="1:7" s="360" customFormat="1" ht="33" customHeight="1">
      <c r="A67" s="387" t="s">
        <v>766</v>
      </c>
      <c r="B67" s="365" t="s">
        <v>767</v>
      </c>
      <c r="C67" s="94" t="s">
        <v>768</v>
      </c>
      <c r="D67" s="336">
        <v>41040</v>
      </c>
      <c r="E67" s="366" t="s">
        <v>769</v>
      </c>
      <c r="F67" s="368" t="s">
        <v>770</v>
      </c>
      <c r="G67" s="373">
        <f>+(150000+120000+18000)*1.27</f>
        <v>365760</v>
      </c>
    </row>
    <row r="68" spans="1:7" s="360" customFormat="1" ht="33" customHeight="1">
      <c r="A68" s="387" t="s">
        <v>771</v>
      </c>
      <c r="B68" s="365" t="s">
        <v>772</v>
      </c>
      <c r="C68" s="94" t="s">
        <v>773</v>
      </c>
      <c r="D68" s="336">
        <v>39873</v>
      </c>
      <c r="E68" s="366" t="s">
        <v>242</v>
      </c>
      <c r="F68" s="367" t="s">
        <v>774</v>
      </c>
      <c r="G68" s="373">
        <f>60450*1.27*6+3</f>
        <v>460632</v>
      </c>
    </row>
    <row r="69" spans="1:7" s="360" customFormat="1" ht="33" customHeight="1">
      <c r="A69" s="387" t="s">
        <v>775</v>
      </c>
      <c r="B69" s="365" t="s">
        <v>316</v>
      </c>
      <c r="C69" s="94" t="s">
        <v>776</v>
      </c>
      <c r="D69" s="336">
        <v>40078</v>
      </c>
      <c r="E69" s="366" t="s">
        <v>242</v>
      </c>
      <c r="F69" s="367" t="s">
        <v>777</v>
      </c>
      <c r="G69" s="373">
        <f>29955*12</f>
        <v>359460</v>
      </c>
    </row>
    <row r="70" spans="1:7" s="360" customFormat="1" ht="33" customHeight="1">
      <c r="A70" s="387" t="s">
        <v>778</v>
      </c>
      <c r="B70" s="365" t="s">
        <v>779</v>
      </c>
      <c r="C70" s="94" t="s">
        <v>780</v>
      </c>
      <c r="D70" s="336">
        <v>41562</v>
      </c>
      <c r="E70" s="366" t="s">
        <v>242</v>
      </c>
      <c r="F70" s="367" t="s">
        <v>153</v>
      </c>
      <c r="G70" s="373">
        <v>1150620</v>
      </c>
    </row>
    <row r="71" spans="1:7" s="360" customFormat="1" ht="33" customHeight="1">
      <c r="A71" s="387" t="s">
        <v>781</v>
      </c>
      <c r="B71" s="365" t="s">
        <v>782</v>
      </c>
      <c r="C71" s="94" t="s">
        <v>783</v>
      </c>
      <c r="D71" s="336">
        <v>38657</v>
      </c>
      <c r="E71" s="366" t="s">
        <v>242</v>
      </c>
      <c r="F71" s="367" t="s">
        <v>784</v>
      </c>
      <c r="G71" s="373">
        <f>44929*1.27*4+1</f>
        <v>228240.32</v>
      </c>
    </row>
    <row r="72" spans="1:7" s="360" customFormat="1" ht="33" customHeight="1">
      <c r="A72" s="387" t="s">
        <v>785</v>
      </c>
      <c r="B72" s="365" t="s">
        <v>786</v>
      </c>
      <c r="C72" s="94" t="s">
        <v>787</v>
      </c>
      <c r="D72" s="336">
        <v>38861</v>
      </c>
      <c r="E72" s="366" t="s">
        <v>242</v>
      </c>
      <c r="F72" s="367" t="s">
        <v>153</v>
      </c>
      <c r="G72" s="373">
        <v>2540000</v>
      </c>
    </row>
    <row r="73" spans="1:7" s="360" customFormat="1" ht="42.6" customHeight="1">
      <c r="A73" s="387" t="s">
        <v>788</v>
      </c>
      <c r="B73" s="365" t="s">
        <v>789</v>
      </c>
      <c r="C73" s="94" t="s">
        <v>790</v>
      </c>
      <c r="D73" s="336">
        <v>39548</v>
      </c>
      <c r="E73" s="366" t="s">
        <v>791</v>
      </c>
      <c r="F73" s="367" t="s">
        <v>792</v>
      </c>
      <c r="G73" s="373">
        <f>339176*1.27*12</f>
        <v>5169042.24</v>
      </c>
    </row>
    <row r="74" spans="1:7" s="360" customFormat="1" ht="33" customHeight="1" thickBot="1">
      <c r="A74" s="389" t="s">
        <v>793</v>
      </c>
      <c r="B74" s="390" t="s">
        <v>794</v>
      </c>
      <c r="C74" s="375" t="s">
        <v>795</v>
      </c>
      <c r="D74" s="376">
        <v>39548</v>
      </c>
      <c r="E74" s="391" t="s">
        <v>242</v>
      </c>
      <c r="F74" s="392" t="s">
        <v>796</v>
      </c>
      <c r="G74" s="393">
        <f>12450*12</f>
        <v>149400</v>
      </c>
    </row>
    <row r="75" spans="1:7" s="360" customFormat="1">
      <c r="A75" s="322"/>
      <c r="B75" s="341"/>
      <c r="C75" s="370"/>
      <c r="D75" s="371"/>
      <c r="E75" s="370"/>
      <c r="F75" s="342"/>
      <c r="G75" s="342"/>
    </row>
  </sheetData>
  <mergeCells count="2">
    <mergeCell ref="A1:G1"/>
    <mergeCell ref="A27:G27"/>
  </mergeCells>
  <phoneticPr fontId="29" type="noConversion"/>
  <printOptions horizontalCentered="1"/>
  <pageMargins left="0.59055118110236227" right="0.59055118110236227" top="0.78740157480314965" bottom="0.78740157480314965" header="0.31496062992125984" footer="0.31496062992125984"/>
  <pageSetup paperSize="9" scale="77" orientation="landscape" r:id="rId1"/>
  <headerFooter>
    <oddHeader>&amp;L&amp;"Arial,Dőlt"&amp;9&amp;U 19. melléklet a 15/2015. (V.29.) önkormányzati rendelethez*</oddHeader>
    <oddFooter>&amp;L* Áht. 91.§ (2) bekezdés szerint
&amp;CNagykőrös Város Önkormányzat 2014. évi zárszámadási rendelete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N26"/>
  <sheetViews>
    <sheetView view="pageLayout" zoomScaleNormal="100" zoomScaleSheetLayoutView="100" workbookViewId="0">
      <selection activeCell="B11" sqref="B11"/>
    </sheetView>
  </sheetViews>
  <sheetFormatPr defaultColWidth="9.140625" defaultRowHeight="15"/>
  <cols>
    <col min="1" max="1" width="8.140625" style="95" customWidth="1"/>
    <col min="2" max="2" width="65.7109375" style="95" customWidth="1"/>
    <col min="3" max="3" width="13.7109375" style="95" customWidth="1"/>
    <col min="4" max="4" width="12" style="95" hidden="1" customWidth="1"/>
    <col min="5" max="5" width="12.140625" style="95" hidden="1" customWidth="1"/>
    <col min="6" max="6" width="11.42578125" style="95" hidden="1" customWidth="1"/>
    <col min="7" max="7" width="12.140625" style="95" hidden="1" customWidth="1"/>
    <col min="8" max="8" width="11.42578125" style="95" hidden="1" customWidth="1"/>
    <col min="9" max="9" width="13.7109375" style="95" hidden="1" customWidth="1"/>
    <col min="10" max="10" width="13.7109375" style="95" customWidth="1"/>
    <col min="11" max="11" width="10.42578125" style="95" customWidth="1"/>
    <col min="12" max="13" width="11.5703125" style="95" customWidth="1"/>
    <col min="14" max="14" width="15.42578125" style="95" bestFit="1" customWidth="1"/>
    <col min="15" max="16384" width="9.140625" style="95"/>
  </cols>
  <sheetData>
    <row r="1" spans="1:14" ht="16.5" customHeight="1">
      <c r="A1" s="1999" t="s">
        <v>214</v>
      </c>
      <c r="B1" s="1999"/>
      <c r="C1" s="1999"/>
      <c r="D1" s="1999"/>
      <c r="E1" s="1999"/>
      <c r="F1" s="1999"/>
      <c r="G1" s="1999"/>
      <c r="H1" s="1999"/>
      <c r="I1" s="1999"/>
      <c r="J1" s="1999"/>
      <c r="K1" s="1999"/>
      <c r="L1" s="1999"/>
    </row>
    <row r="2" spans="1:14" ht="15.75" thickBot="1">
      <c r="A2" s="345"/>
      <c r="B2" s="346"/>
      <c r="C2" s="347"/>
      <c r="F2" s="347"/>
      <c r="H2" s="347" t="s">
        <v>215</v>
      </c>
    </row>
    <row r="3" spans="1:14" ht="44.25" customHeight="1" thickBot="1">
      <c r="A3" s="348" t="s">
        <v>216</v>
      </c>
      <c r="B3" s="137" t="s">
        <v>221</v>
      </c>
      <c r="C3" s="1485" t="s">
        <v>192</v>
      </c>
      <c r="D3" s="994" t="s">
        <v>156</v>
      </c>
      <c r="E3" s="1485" t="s">
        <v>111</v>
      </c>
      <c r="F3" s="1485" t="s">
        <v>156</v>
      </c>
      <c r="G3" s="994" t="s">
        <v>111</v>
      </c>
      <c r="H3" s="760" t="s">
        <v>255</v>
      </c>
      <c r="I3" s="1485" t="s">
        <v>815</v>
      </c>
      <c r="J3" s="760" t="s">
        <v>156</v>
      </c>
      <c r="K3" s="1485" t="s">
        <v>863</v>
      </c>
      <c r="L3" s="1485" t="s">
        <v>953</v>
      </c>
      <c r="M3" s="1485" t="s">
        <v>954</v>
      </c>
      <c r="N3" s="1485" t="s">
        <v>955</v>
      </c>
    </row>
    <row r="4" spans="1:14" ht="33" customHeight="1">
      <c r="A4" s="349" t="s">
        <v>60</v>
      </c>
      <c r="B4" s="780" t="s">
        <v>222</v>
      </c>
      <c r="C4" s="990">
        <v>0</v>
      </c>
      <c r="D4" s="991">
        <v>0</v>
      </c>
      <c r="E4" s="992">
        <v>0</v>
      </c>
      <c r="F4" s="992">
        <f>D4+E4</f>
        <v>0</v>
      </c>
      <c r="G4" s="991"/>
      <c r="H4" s="993">
        <f>F4+G4</f>
        <v>0</v>
      </c>
      <c r="I4" s="101"/>
      <c r="J4" s="1222">
        <f>C4+I4</f>
        <v>0</v>
      </c>
      <c r="K4" s="101"/>
      <c r="L4" s="1593">
        <f>J4+K4</f>
        <v>0</v>
      </c>
      <c r="M4" s="1683"/>
      <c r="N4" s="1601"/>
    </row>
    <row r="5" spans="1:14" ht="33" customHeight="1">
      <c r="A5" s="335" t="s">
        <v>61</v>
      </c>
      <c r="B5" s="781" t="s">
        <v>223</v>
      </c>
      <c r="C5" s="782">
        <v>0</v>
      </c>
      <c r="D5" s="783">
        <v>0</v>
      </c>
      <c r="E5" s="784">
        <v>0</v>
      </c>
      <c r="F5" s="784">
        <f>D5+E5</f>
        <v>0</v>
      </c>
      <c r="G5" s="783"/>
      <c r="H5" s="785">
        <f>F5+G5</f>
        <v>0</v>
      </c>
      <c r="I5" s="61"/>
      <c r="J5" s="1223">
        <f>C5+I5</f>
        <v>0</v>
      </c>
      <c r="K5" s="61"/>
      <c r="L5" s="1592">
        <f t="shared" ref="L5:L7" si="0">J5+K5</f>
        <v>0</v>
      </c>
      <c r="M5" s="1684"/>
      <c r="N5" s="1602"/>
    </row>
    <row r="6" spans="1:14" ht="33" customHeight="1">
      <c r="A6" s="335" t="s">
        <v>62</v>
      </c>
      <c r="B6" s="781" t="s">
        <v>224</v>
      </c>
      <c r="C6" s="782">
        <v>0</v>
      </c>
      <c r="D6" s="783">
        <v>0</v>
      </c>
      <c r="E6" s="784">
        <v>0</v>
      </c>
      <c r="F6" s="784">
        <f>D6+E6</f>
        <v>0</v>
      </c>
      <c r="G6" s="783"/>
      <c r="H6" s="785">
        <f t="shared" ref="H6:H17" si="1">F6+G6</f>
        <v>0</v>
      </c>
      <c r="I6" s="61"/>
      <c r="J6" s="1223">
        <f>C6+I6</f>
        <v>0</v>
      </c>
      <c r="K6" s="61"/>
      <c r="L6" s="1592">
        <f t="shared" si="0"/>
        <v>0</v>
      </c>
      <c r="M6" s="1684"/>
      <c r="N6" s="1602"/>
    </row>
    <row r="7" spans="1:14" ht="33" customHeight="1">
      <c r="A7" s="335" t="s">
        <v>63</v>
      </c>
      <c r="B7" s="781" t="s">
        <v>225</v>
      </c>
      <c r="C7" s="782">
        <v>0</v>
      </c>
      <c r="D7" s="783">
        <v>0</v>
      </c>
      <c r="E7" s="784">
        <v>0</v>
      </c>
      <c r="F7" s="784">
        <f>D7+E7</f>
        <v>0</v>
      </c>
      <c r="G7" s="783"/>
      <c r="H7" s="785">
        <f t="shared" si="1"/>
        <v>0</v>
      </c>
      <c r="I7" s="61"/>
      <c r="J7" s="1223">
        <f>C7+I7</f>
        <v>0</v>
      </c>
      <c r="K7" s="61"/>
      <c r="L7" s="1592">
        <f t="shared" si="0"/>
        <v>0</v>
      </c>
      <c r="M7" s="1684"/>
      <c r="N7" s="1680"/>
    </row>
    <row r="8" spans="1:14" ht="33" customHeight="1">
      <c r="A8" s="335" t="s">
        <v>64</v>
      </c>
      <c r="B8" s="781" t="s">
        <v>226</v>
      </c>
      <c r="C8" s="782">
        <f>SUM(C9:C11)</f>
        <v>23792</v>
      </c>
      <c r="D8" s="782">
        <f t="shared" ref="D8:M8" si="2">SUM(D9:D11)</f>
        <v>22290</v>
      </c>
      <c r="E8" s="782">
        <f t="shared" si="2"/>
        <v>0</v>
      </c>
      <c r="F8" s="782">
        <f t="shared" si="2"/>
        <v>22290</v>
      </c>
      <c r="G8" s="782">
        <f t="shared" si="2"/>
        <v>0</v>
      </c>
      <c r="H8" s="782">
        <f t="shared" si="2"/>
        <v>22290</v>
      </c>
      <c r="I8" s="782">
        <f t="shared" si="2"/>
        <v>0</v>
      </c>
      <c r="J8" s="1224">
        <f t="shared" si="2"/>
        <v>23792</v>
      </c>
      <c r="K8" s="1224">
        <f t="shared" si="2"/>
        <v>0</v>
      </c>
      <c r="L8" s="782">
        <f t="shared" si="2"/>
        <v>23792</v>
      </c>
      <c r="M8" s="1682">
        <f t="shared" si="2"/>
        <v>29059</v>
      </c>
      <c r="N8" s="1680">
        <f t="shared" ref="N8:N22" si="3">M8/L8</f>
        <v>1.2213769334229994</v>
      </c>
    </row>
    <row r="9" spans="1:14" s="1595" customFormat="1" ht="29.1" customHeight="1">
      <c r="A9" s="350" t="s">
        <v>98</v>
      </c>
      <c r="B9" s="786" t="s">
        <v>566</v>
      </c>
      <c r="C9" s="787">
        <v>23300</v>
      </c>
      <c r="D9" s="788">
        <v>21665</v>
      </c>
      <c r="E9" s="789"/>
      <c r="F9" s="789">
        <f>D9+E9</f>
        <v>21665</v>
      </c>
      <c r="G9" s="790"/>
      <c r="H9" s="791">
        <f t="shared" si="1"/>
        <v>21665</v>
      </c>
      <c r="I9" s="778"/>
      <c r="J9" s="1225">
        <f>C9+I9</f>
        <v>23300</v>
      </c>
      <c r="K9" s="778"/>
      <c r="L9" s="1594">
        <f>J9+K9</f>
        <v>23300</v>
      </c>
      <c r="M9" s="1685">
        <v>20306</v>
      </c>
      <c r="N9" s="1680">
        <f t="shared" si="3"/>
        <v>0.87150214592274677</v>
      </c>
    </row>
    <row r="10" spans="1:14" s="1595" customFormat="1" ht="29.1" customHeight="1">
      <c r="A10" s="351" t="s">
        <v>98</v>
      </c>
      <c r="B10" s="792" t="s">
        <v>227</v>
      </c>
      <c r="C10" s="793">
        <v>492</v>
      </c>
      <c r="D10" s="788">
        <v>625</v>
      </c>
      <c r="E10" s="794">
        <v>0</v>
      </c>
      <c r="F10" s="794">
        <f>D10+E10</f>
        <v>625</v>
      </c>
      <c r="G10" s="788"/>
      <c r="H10" s="795">
        <f t="shared" si="1"/>
        <v>625</v>
      </c>
      <c r="I10" s="810"/>
      <c r="J10" s="1226">
        <f>C10+I10</f>
        <v>492</v>
      </c>
      <c r="K10" s="810"/>
      <c r="L10" s="1596">
        <f t="shared" ref="L10:L11" si="4">J10+K10</f>
        <v>492</v>
      </c>
      <c r="M10" s="1686">
        <v>8753</v>
      </c>
      <c r="N10" s="1680">
        <f t="shared" si="3"/>
        <v>17.790650406504064</v>
      </c>
    </row>
    <row r="11" spans="1:14" s="1595" customFormat="1" ht="29.1" customHeight="1">
      <c r="A11" s="352" t="s">
        <v>98</v>
      </c>
      <c r="B11" s="796" t="s">
        <v>228</v>
      </c>
      <c r="C11" s="797">
        <v>0</v>
      </c>
      <c r="D11" s="798">
        <v>0</v>
      </c>
      <c r="E11" s="799">
        <v>0</v>
      </c>
      <c r="F11" s="799">
        <f>D11+E11</f>
        <v>0</v>
      </c>
      <c r="G11" s="798"/>
      <c r="H11" s="800">
        <f t="shared" si="1"/>
        <v>0</v>
      </c>
      <c r="I11" s="779"/>
      <c r="J11" s="1227">
        <f>C11+I11</f>
        <v>0</v>
      </c>
      <c r="K11" s="779"/>
      <c r="L11" s="1597">
        <f t="shared" si="4"/>
        <v>0</v>
      </c>
      <c r="M11" s="1687"/>
      <c r="N11" s="1680"/>
    </row>
    <row r="12" spans="1:14" ht="33" customHeight="1">
      <c r="A12" s="335" t="s">
        <v>65</v>
      </c>
      <c r="B12" s="781" t="s">
        <v>229</v>
      </c>
      <c r="C12" s="782">
        <v>3371</v>
      </c>
      <c r="D12" s="783">
        <v>5271</v>
      </c>
      <c r="E12" s="784"/>
      <c r="F12" s="784">
        <f>D12+E12</f>
        <v>5271</v>
      </c>
      <c r="G12" s="783"/>
      <c r="H12" s="785">
        <f t="shared" si="1"/>
        <v>5271</v>
      </c>
      <c r="I12" s="61"/>
      <c r="J12" s="1228">
        <f>C12+I12</f>
        <v>3371</v>
      </c>
      <c r="K12" s="61"/>
      <c r="L12" s="1592">
        <f>J12+K12</f>
        <v>3371</v>
      </c>
      <c r="M12" s="1684">
        <v>1910</v>
      </c>
      <c r="N12" s="1680">
        <f t="shared" si="3"/>
        <v>0.56659744882824092</v>
      </c>
    </row>
    <row r="13" spans="1:14" ht="33" customHeight="1">
      <c r="A13" s="335" t="s">
        <v>66</v>
      </c>
      <c r="B13" s="781" t="s">
        <v>230</v>
      </c>
      <c r="C13" s="782">
        <f>SUM(C14:C16)</f>
        <v>4200</v>
      </c>
      <c r="D13" s="782">
        <f t="shared" ref="D13:M13" si="5">SUM(D14:D16)</f>
        <v>0</v>
      </c>
      <c r="E13" s="782">
        <f t="shared" si="5"/>
        <v>0</v>
      </c>
      <c r="F13" s="782">
        <f t="shared" si="5"/>
        <v>0</v>
      </c>
      <c r="G13" s="782">
        <f t="shared" si="5"/>
        <v>0</v>
      </c>
      <c r="H13" s="782">
        <f t="shared" si="5"/>
        <v>0</v>
      </c>
      <c r="I13" s="782">
        <f t="shared" si="5"/>
        <v>0</v>
      </c>
      <c r="J13" s="1224">
        <f t="shared" si="5"/>
        <v>4200</v>
      </c>
      <c r="K13" s="1224">
        <f t="shared" si="5"/>
        <v>0</v>
      </c>
      <c r="L13" s="782">
        <f t="shared" si="5"/>
        <v>4200</v>
      </c>
      <c r="M13" s="1682">
        <f t="shared" si="5"/>
        <v>3836</v>
      </c>
      <c r="N13" s="1680">
        <f t="shared" si="3"/>
        <v>0.91333333333333333</v>
      </c>
    </row>
    <row r="14" spans="1:14" s="1595" customFormat="1" ht="33" customHeight="1">
      <c r="A14" s="350"/>
      <c r="B14" s="801" t="s">
        <v>461</v>
      </c>
      <c r="C14" s="802">
        <v>1000</v>
      </c>
      <c r="D14" s="803"/>
      <c r="E14" s="804"/>
      <c r="F14" s="804"/>
      <c r="G14" s="803"/>
      <c r="H14" s="805"/>
      <c r="I14" s="778"/>
      <c r="J14" s="1225">
        <f>C14+I14</f>
        <v>1000</v>
      </c>
      <c r="K14" s="778"/>
      <c r="L14" s="1598">
        <f>J14+K14</f>
        <v>1000</v>
      </c>
      <c r="M14" s="1685">
        <v>26</v>
      </c>
      <c r="N14" s="1680">
        <f t="shared" si="3"/>
        <v>2.5999999999999999E-2</v>
      </c>
    </row>
    <row r="15" spans="1:14" s="1595" customFormat="1" ht="33" customHeight="1">
      <c r="A15" s="351"/>
      <c r="B15" s="792" t="s">
        <v>462</v>
      </c>
      <c r="C15" s="793">
        <v>2400</v>
      </c>
      <c r="D15" s="803"/>
      <c r="E15" s="804"/>
      <c r="F15" s="804"/>
      <c r="G15" s="803"/>
      <c r="H15" s="805"/>
      <c r="I15" s="810"/>
      <c r="J15" s="1226">
        <f>C15+I15</f>
        <v>2400</v>
      </c>
      <c r="K15" s="1591"/>
      <c r="L15" s="1599">
        <f t="shared" ref="L15:L16" si="6">J15+K15</f>
        <v>2400</v>
      </c>
      <c r="M15" s="1688">
        <v>2957</v>
      </c>
      <c r="N15" s="1680">
        <f t="shared" si="3"/>
        <v>1.2320833333333334</v>
      </c>
    </row>
    <row r="16" spans="1:14" s="1595" customFormat="1" ht="33" customHeight="1">
      <c r="A16" s="352"/>
      <c r="B16" s="796" t="s">
        <v>460</v>
      </c>
      <c r="C16" s="806">
        <v>800</v>
      </c>
      <c r="D16" s="803"/>
      <c r="E16" s="804"/>
      <c r="F16" s="804"/>
      <c r="G16" s="803"/>
      <c r="H16" s="805"/>
      <c r="I16" s="779"/>
      <c r="J16" s="1227">
        <f>C16+I16</f>
        <v>800</v>
      </c>
      <c r="K16" s="779"/>
      <c r="L16" s="1600">
        <f t="shared" si="6"/>
        <v>800</v>
      </c>
      <c r="M16" s="1687">
        <v>853</v>
      </c>
      <c r="N16" s="1680">
        <f t="shared" si="3"/>
        <v>1.0662499999999999</v>
      </c>
    </row>
    <row r="17" spans="1:14" ht="33" customHeight="1">
      <c r="A17" s="335" t="s">
        <v>67</v>
      </c>
      <c r="B17" s="781" t="s">
        <v>231</v>
      </c>
      <c r="C17" s="782">
        <v>0</v>
      </c>
      <c r="D17" s="783">
        <v>0</v>
      </c>
      <c r="E17" s="784">
        <v>0</v>
      </c>
      <c r="F17" s="784">
        <f>D17+E17</f>
        <v>0</v>
      </c>
      <c r="G17" s="783"/>
      <c r="H17" s="785">
        <f t="shared" si="1"/>
        <v>0</v>
      </c>
      <c r="I17" s="61"/>
      <c r="J17" s="1228">
        <f>C17+I17</f>
        <v>0</v>
      </c>
      <c r="K17" s="61"/>
      <c r="L17" s="1592">
        <f>J17+K17</f>
        <v>0</v>
      </c>
      <c r="M17" s="1678"/>
      <c r="N17" s="1680"/>
    </row>
    <row r="18" spans="1:14" ht="33" customHeight="1">
      <c r="A18" s="335" t="s">
        <v>68</v>
      </c>
      <c r="B18" s="781" t="s">
        <v>232</v>
      </c>
      <c r="C18" s="782">
        <f>SUM(C19:C20)</f>
        <v>7400</v>
      </c>
      <c r="D18" s="782">
        <f t="shared" ref="D18:M18" si="7">SUM(D19:D20)</f>
        <v>128</v>
      </c>
      <c r="E18" s="782">
        <f t="shared" si="7"/>
        <v>7528</v>
      </c>
      <c r="F18" s="782">
        <f t="shared" si="7"/>
        <v>0</v>
      </c>
      <c r="G18" s="782">
        <f t="shared" si="7"/>
        <v>7528</v>
      </c>
      <c r="H18" s="782">
        <f t="shared" si="7"/>
        <v>0</v>
      </c>
      <c r="I18" s="782">
        <f t="shared" si="7"/>
        <v>128</v>
      </c>
      <c r="J18" s="1224">
        <f t="shared" si="7"/>
        <v>7528</v>
      </c>
      <c r="K18" s="1224">
        <f t="shared" si="7"/>
        <v>0</v>
      </c>
      <c r="L18" s="782">
        <f t="shared" si="7"/>
        <v>7528</v>
      </c>
      <c r="M18" s="1682">
        <f t="shared" si="7"/>
        <v>2902</v>
      </c>
      <c r="N18" s="1680">
        <f>M18/L18</f>
        <v>0.38549415515409141</v>
      </c>
    </row>
    <row r="19" spans="1:14" s="1595" customFormat="1" ht="29.1" customHeight="1">
      <c r="A19" s="350"/>
      <c r="B19" s="807" t="s">
        <v>150</v>
      </c>
      <c r="C19" s="787">
        <f>'12'!C16</f>
        <v>5000</v>
      </c>
      <c r="D19" s="787">
        <f>'12'!D16</f>
        <v>128</v>
      </c>
      <c r="E19" s="787">
        <f>'12'!E16</f>
        <v>5128</v>
      </c>
      <c r="F19" s="787">
        <f>'12'!L16</f>
        <v>0</v>
      </c>
      <c r="G19" s="787">
        <f>'12'!M16</f>
        <v>5128</v>
      </c>
      <c r="H19" s="787">
        <f>'12'!N16</f>
        <v>0</v>
      </c>
      <c r="I19" s="787">
        <f>'12'!D16</f>
        <v>128</v>
      </c>
      <c r="J19" s="787">
        <f>C19+I19</f>
        <v>5128</v>
      </c>
      <c r="K19" s="787">
        <f>'12'!F16</f>
        <v>0</v>
      </c>
      <c r="L19" s="787">
        <f>'12'!G16</f>
        <v>5128</v>
      </c>
      <c r="M19" s="1689">
        <v>2622</v>
      </c>
      <c r="N19" s="1680">
        <f t="shared" si="3"/>
        <v>0.51131045241809669</v>
      </c>
    </row>
    <row r="20" spans="1:14" s="1595" customFormat="1" ht="29.1" customHeight="1">
      <c r="A20" s="352"/>
      <c r="B20" s="808" t="s">
        <v>166</v>
      </c>
      <c r="C20" s="797">
        <f>'12'!C15</f>
        <v>2400</v>
      </c>
      <c r="D20" s="797">
        <f>'12'!D15</f>
        <v>0</v>
      </c>
      <c r="E20" s="797">
        <f>'12'!E15</f>
        <v>2400</v>
      </c>
      <c r="F20" s="797">
        <f>'12'!L15</f>
        <v>0</v>
      </c>
      <c r="G20" s="797">
        <f>'12'!M15</f>
        <v>2400</v>
      </c>
      <c r="H20" s="797">
        <f>'12'!N15</f>
        <v>0</v>
      </c>
      <c r="I20" s="797">
        <f>'12'!D15</f>
        <v>0</v>
      </c>
      <c r="J20" s="797">
        <f>C20+I20</f>
        <v>2400</v>
      </c>
      <c r="K20" s="797">
        <f>'12'!F15</f>
        <v>0</v>
      </c>
      <c r="L20" s="797">
        <f>'12'!G15</f>
        <v>2400</v>
      </c>
      <c r="M20" s="1687">
        <v>280</v>
      </c>
      <c r="N20" s="1680">
        <f t="shared" si="3"/>
        <v>0.11666666666666667</v>
      </c>
    </row>
    <row r="21" spans="1:14" ht="33" customHeight="1" thickBot="1">
      <c r="A21" s="353" t="s">
        <v>75</v>
      </c>
      <c r="B21" s="809" t="s">
        <v>233</v>
      </c>
      <c r="C21" s="1589">
        <v>0</v>
      </c>
      <c r="D21" s="1589">
        <v>0</v>
      </c>
      <c r="E21" s="1589">
        <v>0</v>
      </c>
      <c r="F21" s="1589">
        <v>0</v>
      </c>
      <c r="G21" s="1589">
        <v>0</v>
      </c>
      <c r="H21" s="1589">
        <v>0</v>
      </c>
      <c r="I21" s="1589">
        <v>0</v>
      </c>
      <c r="J21" s="1590">
        <v>0</v>
      </c>
      <c r="K21" s="1309"/>
      <c r="L21" s="1309"/>
      <c r="M21" s="282"/>
      <c r="N21" s="1680"/>
    </row>
    <row r="22" spans="1:14" s="108" customFormat="1" ht="33" customHeight="1" thickBot="1">
      <c r="A22" s="354"/>
      <c r="B22" s="355" t="s">
        <v>176</v>
      </c>
      <c r="C22" s="593">
        <f>C4+C5+C6+C7+C8+C12+C13+C17+C18</f>
        <v>38763</v>
      </c>
      <c r="D22" s="593">
        <f t="shared" ref="D22:M22" si="8">D4+D5+D6+D7+D8+D12+D13+D17+D18</f>
        <v>27689</v>
      </c>
      <c r="E22" s="593">
        <f t="shared" si="8"/>
        <v>7528</v>
      </c>
      <c r="F22" s="593">
        <f t="shared" si="8"/>
        <v>27561</v>
      </c>
      <c r="G22" s="593">
        <f t="shared" si="8"/>
        <v>7528</v>
      </c>
      <c r="H22" s="593">
        <f t="shared" si="8"/>
        <v>27561</v>
      </c>
      <c r="I22" s="593">
        <f t="shared" si="8"/>
        <v>128</v>
      </c>
      <c r="J22" s="1229">
        <f t="shared" si="8"/>
        <v>38891</v>
      </c>
      <c r="K22" s="1229">
        <f t="shared" si="8"/>
        <v>0</v>
      </c>
      <c r="L22" s="593">
        <f t="shared" si="8"/>
        <v>38891</v>
      </c>
      <c r="M22" s="593">
        <f t="shared" si="8"/>
        <v>37707</v>
      </c>
      <c r="N22" s="1681">
        <f t="shared" si="3"/>
        <v>0.96955593839191589</v>
      </c>
    </row>
    <row r="25" spans="1:14">
      <c r="A25" s="132"/>
    </row>
    <row r="26" spans="1:14">
      <c r="A26" s="203"/>
    </row>
  </sheetData>
  <mergeCells count="1">
    <mergeCell ref="A1:L1"/>
  </mergeCells>
  <phoneticPr fontId="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7" orientation="portrait" r:id="rId1"/>
  <headerFooter alignWithMargins="0">
    <oddHeader>&amp;L&amp;"Arial,Dőlt"&amp;9 &amp;U20. melléklet a 15/2015. (V.29.) önkormányzati rendelethez*</oddHeader>
    <oddFooter>&amp;L* Áht. 91.§ (2) bekezdés szerint
&amp;CNagykőrös Város Önkormányzat 2014. évi zárszámadási rendelete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E30"/>
  <sheetViews>
    <sheetView view="pageBreakPreview" topLeftCell="A10" zoomScaleNormal="100" zoomScaleSheetLayoutView="100" workbookViewId="0">
      <selection activeCell="D36" sqref="D36"/>
    </sheetView>
  </sheetViews>
  <sheetFormatPr defaultRowHeight="21.75" customHeight="1"/>
  <cols>
    <col min="1" max="1" width="47" style="20" customWidth="1"/>
    <col min="2" max="5" width="11" customWidth="1"/>
  </cols>
  <sheetData>
    <row r="1" spans="1:5" ht="63" customHeight="1">
      <c r="A1" s="2002" t="s">
        <v>110</v>
      </c>
      <c r="B1" s="2000" t="s">
        <v>336</v>
      </c>
      <c r="C1" s="2001"/>
      <c r="D1" s="2001"/>
      <c r="E1" s="2001"/>
    </row>
    <row r="2" spans="1:5" ht="21.75" customHeight="1">
      <c r="A2" s="2003"/>
      <c r="B2" s="23" t="s">
        <v>493</v>
      </c>
      <c r="C2" s="24" t="s">
        <v>328</v>
      </c>
      <c r="D2" s="24" t="s">
        <v>329</v>
      </c>
      <c r="E2" s="24" t="s">
        <v>330</v>
      </c>
    </row>
    <row r="3" spans="1:5" ht="21.75" customHeight="1">
      <c r="A3" s="25" t="s">
        <v>320</v>
      </c>
      <c r="B3" s="24">
        <v>809000</v>
      </c>
      <c r="C3" s="24">
        <v>817000</v>
      </c>
      <c r="D3" s="24">
        <v>825000</v>
      </c>
      <c r="E3" s="24">
        <v>833000</v>
      </c>
    </row>
    <row r="4" spans="1:5" ht="19.5" customHeight="1">
      <c r="A4" s="25" t="s">
        <v>321</v>
      </c>
      <c r="B4" s="24">
        <v>71780</v>
      </c>
      <c r="C4" s="24">
        <v>71780</v>
      </c>
      <c r="D4" s="24">
        <v>71780</v>
      </c>
      <c r="E4" s="24">
        <v>71780</v>
      </c>
    </row>
    <row r="5" spans="1:5" ht="18.75" customHeight="1">
      <c r="A5" s="25" t="s">
        <v>322</v>
      </c>
      <c r="B5" s="24"/>
      <c r="C5" s="24"/>
      <c r="D5" s="24"/>
      <c r="E5" s="24"/>
    </row>
    <row r="6" spans="1:5" ht="29.25" customHeight="1">
      <c r="A6" s="25" t="s">
        <v>323</v>
      </c>
      <c r="B6" s="26" t="s">
        <v>98</v>
      </c>
      <c r="C6" s="26" t="s">
        <v>98</v>
      </c>
      <c r="D6" s="26" t="s">
        <v>98</v>
      </c>
      <c r="E6" s="26">
        <v>0</v>
      </c>
    </row>
    <row r="7" spans="1:5" ht="18.75" customHeight="1">
      <c r="A7" s="25" t="s">
        <v>324</v>
      </c>
      <c r="B7" s="24"/>
      <c r="C7" s="24"/>
      <c r="D7" s="24"/>
      <c r="E7" s="24"/>
    </row>
    <row r="8" spans="1:5" ht="30.75" customHeight="1">
      <c r="A8" s="25" t="s">
        <v>325</v>
      </c>
      <c r="B8" s="24"/>
      <c r="C8" s="24"/>
      <c r="D8" s="24"/>
      <c r="E8" s="24"/>
    </row>
    <row r="9" spans="1:5" ht="21.75" customHeight="1" thickBot="1">
      <c r="A9" s="64" t="s">
        <v>326</v>
      </c>
      <c r="B9" s="27">
        <v>20000</v>
      </c>
      <c r="C9" s="27">
        <v>20000</v>
      </c>
      <c r="D9" s="27">
        <v>20000</v>
      </c>
      <c r="E9" s="27">
        <v>400000</v>
      </c>
    </row>
    <row r="10" spans="1:5" ht="21.75" customHeight="1" thickBot="1">
      <c r="A10" s="65" t="s">
        <v>335</v>
      </c>
      <c r="B10" s="47">
        <f>SUM(B3:B9)</f>
        <v>900780</v>
      </c>
      <c r="C10" s="47">
        <f>SUM(C3:C9)</f>
        <v>908780</v>
      </c>
      <c r="D10" s="47">
        <f>SUM(D3:D9)</f>
        <v>916780</v>
      </c>
      <c r="E10" s="47">
        <f>SUM(E3:E9)</f>
        <v>1304780</v>
      </c>
    </row>
    <row r="11" spans="1:5" ht="32.25" customHeight="1" thickBot="1">
      <c r="A11" s="67" t="s">
        <v>338</v>
      </c>
      <c r="B11" s="46">
        <f>SUM(B12:B18)</f>
        <v>20000</v>
      </c>
      <c r="C11" s="46">
        <f>SUM(C12:C18)</f>
        <v>20000</v>
      </c>
      <c r="D11" s="46">
        <f>SUM(D12:D18)</f>
        <v>20000</v>
      </c>
      <c r="E11" s="46">
        <f>SUM(E12:E18)</f>
        <v>400000</v>
      </c>
    </row>
    <row r="12" spans="1:5" ht="18" customHeight="1">
      <c r="A12" s="66" t="s">
        <v>339</v>
      </c>
      <c r="B12" s="22" t="s">
        <v>98</v>
      </c>
      <c r="C12" s="22" t="s">
        <v>98</v>
      </c>
      <c r="D12" s="22" t="s">
        <v>98</v>
      </c>
      <c r="E12" s="22" t="s">
        <v>98</v>
      </c>
    </row>
    <row r="13" spans="1:5" ht="18" customHeight="1">
      <c r="A13" s="25" t="s">
        <v>340</v>
      </c>
      <c r="B13" s="24"/>
      <c r="C13" s="24"/>
      <c r="D13" s="24"/>
      <c r="E13" s="24"/>
    </row>
    <row r="14" spans="1:5" ht="18" customHeight="1">
      <c r="A14" s="25" t="s">
        <v>341</v>
      </c>
      <c r="B14" s="24"/>
      <c r="C14" s="24"/>
      <c r="D14" s="24"/>
      <c r="E14" s="24"/>
    </row>
    <row r="15" spans="1:5" ht="18" customHeight="1">
      <c r="A15" s="25" t="s">
        <v>342</v>
      </c>
      <c r="B15" s="24"/>
      <c r="C15" s="24"/>
      <c r="D15" s="24"/>
      <c r="E15" s="24"/>
    </row>
    <row r="16" spans="1:5" ht="18" customHeight="1">
      <c r="A16" s="25" t="s">
        <v>343</v>
      </c>
      <c r="B16" s="24"/>
      <c r="C16" s="24"/>
      <c r="D16" s="24"/>
      <c r="E16" s="24"/>
    </row>
    <row r="17" spans="1:5" ht="18" customHeight="1">
      <c r="A17" s="25" t="s">
        <v>344</v>
      </c>
      <c r="B17" s="24"/>
      <c r="C17" s="24"/>
      <c r="D17" s="24"/>
      <c r="E17" s="24"/>
    </row>
    <row r="18" spans="1:5" ht="18" customHeight="1">
      <c r="A18" s="69" t="s">
        <v>345</v>
      </c>
      <c r="B18" s="24">
        <v>20000</v>
      </c>
      <c r="C18" s="24">
        <v>20000</v>
      </c>
      <c r="D18" s="24">
        <v>20000</v>
      </c>
      <c r="E18" s="24">
        <v>400000</v>
      </c>
    </row>
    <row r="19" spans="1:5" ht="15.75" customHeight="1">
      <c r="A19" s="68"/>
      <c r="B19" s="27"/>
      <c r="C19" s="27"/>
      <c r="D19" s="27"/>
      <c r="E19" s="27"/>
    </row>
    <row r="20" spans="1:5" ht="63" customHeight="1">
      <c r="A20" s="2004" t="s">
        <v>110</v>
      </c>
      <c r="B20" s="2006" t="s">
        <v>336</v>
      </c>
      <c r="C20" s="2007"/>
      <c r="D20" s="2007"/>
      <c r="E20" s="2008"/>
    </row>
    <row r="21" spans="1:5" ht="21.75" customHeight="1" thickBot="1">
      <c r="A21" s="2005"/>
      <c r="B21" s="23" t="s">
        <v>493</v>
      </c>
      <c r="C21" s="24" t="s">
        <v>328</v>
      </c>
      <c r="D21" s="24" t="s">
        <v>329</v>
      </c>
      <c r="E21" s="24" t="s">
        <v>330</v>
      </c>
    </row>
    <row r="22" spans="1:5" ht="28.5" customHeight="1" thickBot="1">
      <c r="A22" s="67" t="s">
        <v>346</v>
      </c>
      <c r="B22" s="46">
        <v>0</v>
      </c>
      <c r="C22" s="46">
        <f>SUM(C23:C29)</f>
        <v>26000</v>
      </c>
      <c r="D22" s="46">
        <f>SUM(D23:D29)</f>
        <v>26000</v>
      </c>
      <c r="E22" s="46">
        <f>SUM(E23:E29)</f>
        <v>26000</v>
      </c>
    </row>
    <row r="23" spans="1:5" ht="21.75" customHeight="1">
      <c r="A23" s="66" t="s">
        <v>339</v>
      </c>
      <c r="B23" s="22">
        <v>0</v>
      </c>
      <c r="C23" s="22">
        <v>26000</v>
      </c>
      <c r="D23" s="22">
        <v>26000</v>
      </c>
      <c r="E23" s="22">
        <v>26000</v>
      </c>
    </row>
    <row r="24" spans="1:5" ht="17.25" customHeight="1">
      <c r="A24" s="25" t="s">
        <v>340</v>
      </c>
      <c r="B24" s="24"/>
      <c r="C24" s="24"/>
      <c r="D24" s="24"/>
      <c r="E24" s="24"/>
    </row>
    <row r="25" spans="1:5" ht="17.25" customHeight="1">
      <c r="A25" s="25" t="s">
        <v>341</v>
      </c>
      <c r="B25" s="24"/>
      <c r="C25" s="24"/>
      <c r="D25" s="24"/>
      <c r="E25" s="24"/>
    </row>
    <row r="26" spans="1:5" ht="17.25" customHeight="1">
      <c r="A26" s="25" t="s">
        <v>342</v>
      </c>
      <c r="B26" s="24"/>
      <c r="C26" s="24"/>
      <c r="D26" s="24"/>
      <c r="E26" s="24"/>
    </row>
    <row r="27" spans="1:5" ht="17.25" customHeight="1">
      <c r="A27" s="25" t="s">
        <v>343</v>
      </c>
      <c r="B27" s="24"/>
      <c r="C27" s="24"/>
      <c r="D27" s="24"/>
      <c r="E27" s="24"/>
    </row>
    <row r="28" spans="1:5" ht="17.25" customHeight="1">
      <c r="A28" s="25" t="s">
        <v>344</v>
      </c>
      <c r="B28" s="24"/>
      <c r="C28" s="24"/>
      <c r="D28" s="24"/>
      <c r="E28" s="24"/>
    </row>
    <row r="29" spans="1:5" ht="17.25" customHeight="1" thickBot="1">
      <c r="A29" s="64" t="s">
        <v>345</v>
      </c>
      <c r="B29" s="27"/>
      <c r="C29" s="27"/>
      <c r="D29" s="27"/>
      <c r="E29" s="27"/>
    </row>
    <row r="30" spans="1:5" ht="21.75" customHeight="1" thickBot="1">
      <c r="A30" s="67" t="s">
        <v>347</v>
      </c>
      <c r="B30" s="47">
        <f>B11+B22</f>
        <v>20000</v>
      </c>
      <c r="C30" s="47">
        <f>C11+C22</f>
        <v>46000</v>
      </c>
      <c r="D30" s="47">
        <f>D11+D22</f>
        <v>46000</v>
      </c>
      <c r="E30" s="47">
        <f>E11+E22</f>
        <v>426000</v>
      </c>
    </row>
  </sheetData>
  <mergeCells count="4">
    <mergeCell ref="B1:E1"/>
    <mergeCell ref="A1:A2"/>
    <mergeCell ref="A20:A21"/>
    <mergeCell ref="B20:E20"/>
  </mergeCells>
  <pageMargins left="0.7" right="0.7" top="0.75" bottom="0.75" header="0.3" footer="0.3"/>
  <pageSetup paperSize="9" scale="98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E26"/>
  <sheetViews>
    <sheetView view="pageLayout" topLeftCell="A5" zoomScaleNormal="100" zoomScaleSheetLayoutView="89" workbookViewId="0">
      <selection activeCell="B14" sqref="B14"/>
    </sheetView>
  </sheetViews>
  <sheetFormatPr defaultRowHeight="12"/>
  <cols>
    <col min="1" max="1" width="5.85546875" style="1629" customWidth="1"/>
    <col min="2" max="2" width="45.85546875" style="1630" customWidth="1"/>
    <col min="3" max="3" width="13" style="1631" customWidth="1"/>
    <col min="4" max="4" width="17.42578125" style="1630" customWidth="1"/>
    <col min="5" max="5" width="10.85546875" style="1630" customWidth="1"/>
    <col min="6" max="11" width="8.5703125" style="1630" customWidth="1"/>
    <col min="12" max="256" width="9.140625" style="1630"/>
    <col min="257" max="257" width="5.85546875" style="1630" customWidth="1"/>
    <col min="258" max="258" width="45.85546875" style="1630" customWidth="1"/>
    <col min="259" max="259" width="13" style="1630" customWidth="1"/>
    <col min="260" max="260" width="17.42578125" style="1630" customWidth="1"/>
    <col min="261" max="261" width="10.85546875" style="1630" customWidth="1"/>
    <col min="262" max="267" width="8.5703125" style="1630" customWidth="1"/>
    <col min="268" max="512" width="9.140625" style="1630"/>
    <col min="513" max="513" width="5.85546875" style="1630" customWidth="1"/>
    <col min="514" max="514" width="45.85546875" style="1630" customWidth="1"/>
    <col min="515" max="515" width="13" style="1630" customWidth="1"/>
    <col min="516" max="516" width="17.42578125" style="1630" customWidth="1"/>
    <col min="517" max="517" width="10.85546875" style="1630" customWidth="1"/>
    <col min="518" max="523" width="8.5703125" style="1630" customWidth="1"/>
    <col min="524" max="768" width="9.140625" style="1630"/>
    <col min="769" max="769" width="5.85546875" style="1630" customWidth="1"/>
    <col min="770" max="770" width="45.85546875" style="1630" customWidth="1"/>
    <col min="771" max="771" width="13" style="1630" customWidth="1"/>
    <col min="772" max="772" width="17.42578125" style="1630" customWidth="1"/>
    <col min="773" max="773" width="10.85546875" style="1630" customWidth="1"/>
    <col min="774" max="779" width="8.5703125" style="1630" customWidth="1"/>
    <col min="780" max="1024" width="9.140625" style="1630"/>
    <col min="1025" max="1025" width="5.85546875" style="1630" customWidth="1"/>
    <col min="1026" max="1026" width="45.85546875" style="1630" customWidth="1"/>
    <col min="1027" max="1027" width="13" style="1630" customWidth="1"/>
    <col min="1028" max="1028" width="17.42578125" style="1630" customWidth="1"/>
    <col min="1029" max="1029" width="10.85546875" style="1630" customWidth="1"/>
    <col min="1030" max="1035" width="8.5703125" style="1630" customWidth="1"/>
    <col min="1036" max="1280" width="9.140625" style="1630"/>
    <col min="1281" max="1281" width="5.85546875" style="1630" customWidth="1"/>
    <col min="1282" max="1282" width="45.85546875" style="1630" customWidth="1"/>
    <col min="1283" max="1283" width="13" style="1630" customWidth="1"/>
    <col min="1284" max="1284" width="17.42578125" style="1630" customWidth="1"/>
    <col min="1285" max="1285" width="10.85546875" style="1630" customWidth="1"/>
    <col min="1286" max="1291" width="8.5703125" style="1630" customWidth="1"/>
    <col min="1292" max="1536" width="9.140625" style="1630"/>
    <col min="1537" max="1537" width="5.85546875" style="1630" customWidth="1"/>
    <col min="1538" max="1538" width="45.85546875" style="1630" customWidth="1"/>
    <col min="1539" max="1539" width="13" style="1630" customWidth="1"/>
    <col min="1540" max="1540" width="17.42578125" style="1630" customWidth="1"/>
    <col min="1541" max="1541" width="10.85546875" style="1630" customWidth="1"/>
    <col min="1542" max="1547" width="8.5703125" style="1630" customWidth="1"/>
    <col min="1548" max="1792" width="9.140625" style="1630"/>
    <col min="1793" max="1793" width="5.85546875" style="1630" customWidth="1"/>
    <col min="1794" max="1794" width="45.85546875" style="1630" customWidth="1"/>
    <col min="1795" max="1795" width="13" style="1630" customWidth="1"/>
    <col min="1796" max="1796" width="17.42578125" style="1630" customWidth="1"/>
    <col min="1797" max="1797" width="10.85546875" style="1630" customWidth="1"/>
    <col min="1798" max="1803" width="8.5703125" style="1630" customWidth="1"/>
    <col min="1804" max="2048" width="9.140625" style="1630"/>
    <col min="2049" max="2049" width="5.85546875" style="1630" customWidth="1"/>
    <col min="2050" max="2050" width="45.85546875" style="1630" customWidth="1"/>
    <col min="2051" max="2051" width="13" style="1630" customWidth="1"/>
    <col min="2052" max="2052" width="17.42578125" style="1630" customWidth="1"/>
    <col min="2053" max="2053" width="10.85546875" style="1630" customWidth="1"/>
    <col min="2054" max="2059" width="8.5703125" style="1630" customWidth="1"/>
    <col min="2060" max="2304" width="9.140625" style="1630"/>
    <col min="2305" max="2305" width="5.85546875" style="1630" customWidth="1"/>
    <col min="2306" max="2306" width="45.85546875" style="1630" customWidth="1"/>
    <col min="2307" max="2307" width="13" style="1630" customWidth="1"/>
    <col min="2308" max="2308" width="17.42578125" style="1630" customWidth="1"/>
    <col min="2309" max="2309" width="10.85546875" style="1630" customWidth="1"/>
    <col min="2310" max="2315" width="8.5703125" style="1630" customWidth="1"/>
    <col min="2316" max="2560" width="9.140625" style="1630"/>
    <col min="2561" max="2561" width="5.85546875" style="1630" customWidth="1"/>
    <col min="2562" max="2562" width="45.85546875" style="1630" customWidth="1"/>
    <col min="2563" max="2563" width="13" style="1630" customWidth="1"/>
    <col min="2564" max="2564" width="17.42578125" style="1630" customWidth="1"/>
    <col min="2565" max="2565" width="10.85546875" style="1630" customWidth="1"/>
    <col min="2566" max="2571" width="8.5703125" style="1630" customWidth="1"/>
    <col min="2572" max="2816" width="9.140625" style="1630"/>
    <col min="2817" max="2817" width="5.85546875" style="1630" customWidth="1"/>
    <col min="2818" max="2818" width="45.85546875" style="1630" customWidth="1"/>
    <col min="2819" max="2819" width="13" style="1630" customWidth="1"/>
    <col min="2820" max="2820" width="17.42578125" style="1630" customWidth="1"/>
    <col min="2821" max="2821" width="10.85546875" style="1630" customWidth="1"/>
    <col min="2822" max="2827" width="8.5703125" style="1630" customWidth="1"/>
    <col min="2828" max="3072" width="9.140625" style="1630"/>
    <col min="3073" max="3073" width="5.85546875" style="1630" customWidth="1"/>
    <col min="3074" max="3074" width="45.85546875" style="1630" customWidth="1"/>
    <col min="3075" max="3075" width="13" style="1630" customWidth="1"/>
    <col min="3076" max="3076" width="17.42578125" style="1630" customWidth="1"/>
    <col min="3077" max="3077" width="10.85546875" style="1630" customWidth="1"/>
    <col min="3078" max="3083" width="8.5703125" style="1630" customWidth="1"/>
    <col min="3084" max="3328" width="9.140625" style="1630"/>
    <col min="3329" max="3329" width="5.85546875" style="1630" customWidth="1"/>
    <col min="3330" max="3330" width="45.85546875" style="1630" customWidth="1"/>
    <col min="3331" max="3331" width="13" style="1630" customWidth="1"/>
    <col min="3332" max="3332" width="17.42578125" style="1630" customWidth="1"/>
    <col min="3333" max="3333" width="10.85546875" style="1630" customWidth="1"/>
    <col min="3334" max="3339" width="8.5703125" style="1630" customWidth="1"/>
    <col min="3340" max="3584" width="9.140625" style="1630"/>
    <col min="3585" max="3585" width="5.85546875" style="1630" customWidth="1"/>
    <col min="3586" max="3586" width="45.85546875" style="1630" customWidth="1"/>
    <col min="3587" max="3587" width="13" style="1630" customWidth="1"/>
    <col min="3588" max="3588" width="17.42578125" style="1630" customWidth="1"/>
    <col min="3589" max="3589" width="10.85546875" style="1630" customWidth="1"/>
    <col min="3590" max="3595" width="8.5703125" style="1630" customWidth="1"/>
    <col min="3596" max="3840" width="9.140625" style="1630"/>
    <col min="3841" max="3841" width="5.85546875" style="1630" customWidth="1"/>
    <col min="3842" max="3842" width="45.85546875" style="1630" customWidth="1"/>
    <col min="3843" max="3843" width="13" style="1630" customWidth="1"/>
    <col min="3844" max="3844" width="17.42578125" style="1630" customWidth="1"/>
    <col min="3845" max="3845" width="10.85546875" style="1630" customWidth="1"/>
    <col min="3846" max="3851" width="8.5703125" style="1630" customWidth="1"/>
    <col min="3852" max="4096" width="9.140625" style="1630"/>
    <col min="4097" max="4097" width="5.85546875" style="1630" customWidth="1"/>
    <col min="4098" max="4098" width="45.85546875" style="1630" customWidth="1"/>
    <col min="4099" max="4099" width="13" style="1630" customWidth="1"/>
    <col min="4100" max="4100" width="17.42578125" style="1630" customWidth="1"/>
    <col min="4101" max="4101" width="10.85546875" style="1630" customWidth="1"/>
    <col min="4102" max="4107" width="8.5703125" style="1630" customWidth="1"/>
    <col min="4108" max="4352" width="9.140625" style="1630"/>
    <col min="4353" max="4353" width="5.85546875" style="1630" customWidth="1"/>
    <col min="4354" max="4354" width="45.85546875" style="1630" customWidth="1"/>
    <col min="4355" max="4355" width="13" style="1630" customWidth="1"/>
    <col min="4356" max="4356" width="17.42578125" style="1630" customWidth="1"/>
    <col min="4357" max="4357" width="10.85546875" style="1630" customWidth="1"/>
    <col min="4358" max="4363" width="8.5703125" style="1630" customWidth="1"/>
    <col min="4364" max="4608" width="9.140625" style="1630"/>
    <col min="4609" max="4609" width="5.85546875" style="1630" customWidth="1"/>
    <col min="4610" max="4610" width="45.85546875" style="1630" customWidth="1"/>
    <col min="4611" max="4611" width="13" style="1630" customWidth="1"/>
    <col min="4612" max="4612" width="17.42578125" style="1630" customWidth="1"/>
    <col min="4613" max="4613" width="10.85546875" style="1630" customWidth="1"/>
    <col min="4614" max="4619" width="8.5703125" style="1630" customWidth="1"/>
    <col min="4620" max="4864" width="9.140625" style="1630"/>
    <col min="4865" max="4865" width="5.85546875" style="1630" customWidth="1"/>
    <col min="4866" max="4866" width="45.85546875" style="1630" customWidth="1"/>
    <col min="4867" max="4867" width="13" style="1630" customWidth="1"/>
    <col min="4868" max="4868" width="17.42578125" style="1630" customWidth="1"/>
    <col min="4869" max="4869" width="10.85546875" style="1630" customWidth="1"/>
    <col min="4870" max="4875" width="8.5703125" style="1630" customWidth="1"/>
    <col min="4876" max="5120" width="9.140625" style="1630"/>
    <col min="5121" max="5121" width="5.85546875" style="1630" customWidth="1"/>
    <col min="5122" max="5122" width="45.85546875" style="1630" customWidth="1"/>
    <col min="5123" max="5123" width="13" style="1630" customWidth="1"/>
    <col min="5124" max="5124" width="17.42578125" style="1630" customWidth="1"/>
    <col min="5125" max="5125" width="10.85546875" style="1630" customWidth="1"/>
    <col min="5126" max="5131" width="8.5703125" style="1630" customWidth="1"/>
    <col min="5132" max="5376" width="9.140625" style="1630"/>
    <col min="5377" max="5377" width="5.85546875" style="1630" customWidth="1"/>
    <col min="5378" max="5378" width="45.85546875" style="1630" customWidth="1"/>
    <col min="5379" max="5379" width="13" style="1630" customWidth="1"/>
    <col min="5380" max="5380" width="17.42578125" style="1630" customWidth="1"/>
    <col min="5381" max="5381" width="10.85546875" style="1630" customWidth="1"/>
    <col min="5382" max="5387" width="8.5703125" style="1630" customWidth="1"/>
    <col min="5388" max="5632" width="9.140625" style="1630"/>
    <col min="5633" max="5633" width="5.85546875" style="1630" customWidth="1"/>
    <col min="5634" max="5634" width="45.85546875" style="1630" customWidth="1"/>
    <col min="5635" max="5635" width="13" style="1630" customWidth="1"/>
    <col min="5636" max="5636" width="17.42578125" style="1630" customWidth="1"/>
    <col min="5637" max="5637" width="10.85546875" style="1630" customWidth="1"/>
    <col min="5638" max="5643" width="8.5703125" style="1630" customWidth="1"/>
    <col min="5644" max="5888" width="9.140625" style="1630"/>
    <col min="5889" max="5889" width="5.85546875" style="1630" customWidth="1"/>
    <col min="5890" max="5890" width="45.85546875" style="1630" customWidth="1"/>
    <col min="5891" max="5891" width="13" style="1630" customWidth="1"/>
    <col min="5892" max="5892" width="17.42578125" style="1630" customWidth="1"/>
    <col min="5893" max="5893" width="10.85546875" style="1630" customWidth="1"/>
    <col min="5894" max="5899" width="8.5703125" style="1630" customWidth="1"/>
    <col min="5900" max="6144" width="9.140625" style="1630"/>
    <col min="6145" max="6145" width="5.85546875" style="1630" customWidth="1"/>
    <col min="6146" max="6146" width="45.85546875" style="1630" customWidth="1"/>
    <col min="6147" max="6147" width="13" style="1630" customWidth="1"/>
    <col min="6148" max="6148" width="17.42578125" style="1630" customWidth="1"/>
    <col min="6149" max="6149" width="10.85546875" style="1630" customWidth="1"/>
    <col min="6150" max="6155" width="8.5703125" style="1630" customWidth="1"/>
    <col min="6156" max="6400" width="9.140625" style="1630"/>
    <col min="6401" max="6401" width="5.85546875" style="1630" customWidth="1"/>
    <col min="6402" max="6402" width="45.85546875" style="1630" customWidth="1"/>
    <col min="6403" max="6403" width="13" style="1630" customWidth="1"/>
    <col min="6404" max="6404" width="17.42578125" style="1630" customWidth="1"/>
    <col min="6405" max="6405" width="10.85546875" style="1630" customWidth="1"/>
    <col min="6406" max="6411" width="8.5703125" style="1630" customWidth="1"/>
    <col min="6412" max="6656" width="9.140625" style="1630"/>
    <col min="6657" max="6657" width="5.85546875" style="1630" customWidth="1"/>
    <col min="6658" max="6658" width="45.85546875" style="1630" customWidth="1"/>
    <col min="6659" max="6659" width="13" style="1630" customWidth="1"/>
    <col min="6660" max="6660" width="17.42578125" style="1630" customWidth="1"/>
    <col min="6661" max="6661" width="10.85546875" style="1630" customWidth="1"/>
    <col min="6662" max="6667" width="8.5703125" style="1630" customWidth="1"/>
    <col min="6668" max="6912" width="9.140625" style="1630"/>
    <col min="6913" max="6913" width="5.85546875" style="1630" customWidth="1"/>
    <col min="6914" max="6914" width="45.85546875" style="1630" customWidth="1"/>
    <col min="6915" max="6915" width="13" style="1630" customWidth="1"/>
    <col min="6916" max="6916" width="17.42578125" style="1630" customWidth="1"/>
    <col min="6917" max="6917" width="10.85546875" style="1630" customWidth="1"/>
    <col min="6918" max="6923" width="8.5703125" style="1630" customWidth="1"/>
    <col min="6924" max="7168" width="9.140625" style="1630"/>
    <col min="7169" max="7169" width="5.85546875" style="1630" customWidth="1"/>
    <col min="7170" max="7170" width="45.85546875" style="1630" customWidth="1"/>
    <col min="7171" max="7171" width="13" style="1630" customWidth="1"/>
    <col min="7172" max="7172" width="17.42578125" style="1630" customWidth="1"/>
    <col min="7173" max="7173" width="10.85546875" style="1630" customWidth="1"/>
    <col min="7174" max="7179" width="8.5703125" style="1630" customWidth="1"/>
    <col min="7180" max="7424" width="9.140625" style="1630"/>
    <col min="7425" max="7425" width="5.85546875" style="1630" customWidth="1"/>
    <col min="7426" max="7426" width="45.85546875" style="1630" customWidth="1"/>
    <col min="7427" max="7427" width="13" style="1630" customWidth="1"/>
    <col min="7428" max="7428" width="17.42578125" style="1630" customWidth="1"/>
    <col min="7429" max="7429" width="10.85546875" style="1630" customWidth="1"/>
    <col min="7430" max="7435" width="8.5703125" style="1630" customWidth="1"/>
    <col min="7436" max="7680" width="9.140625" style="1630"/>
    <col min="7681" max="7681" width="5.85546875" style="1630" customWidth="1"/>
    <col min="7682" max="7682" width="45.85546875" style="1630" customWidth="1"/>
    <col min="7683" max="7683" width="13" style="1630" customWidth="1"/>
    <col min="7684" max="7684" width="17.42578125" style="1630" customWidth="1"/>
    <col min="7685" max="7685" width="10.85546875" style="1630" customWidth="1"/>
    <col min="7686" max="7691" width="8.5703125" style="1630" customWidth="1"/>
    <col min="7692" max="7936" width="9.140625" style="1630"/>
    <col min="7937" max="7937" width="5.85546875" style="1630" customWidth="1"/>
    <col min="7938" max="7938" width="45.85546875" style="1630" customWidth="1"/>
    <col min="7939" max="7939" width="13" style="1630" customWidth="1"/>
    <col min="7940" max="7940" width="17.42578125" style="1630" customWidth="1"/>
    <col min="7941" max="7941" width="10.85546875" style="1630" customWidth="1"/>
    <col min="7942" max="7947" width="8.5703125" style="1630" customWidth="1"/>
    <col min="7948" max="8192" width="9.140625" style="1630"/>
    <col min="8193" max="8193" width="5.85546875" style="1630" customWidth="1"/>
    <col min="8194" max="8194" width="45.85546875" style="1630" customWidth="1"/>
    <col min="8195" max="8195" width="13" style="1630" customWidth="1"/>
    <col min="8196" max="8196" width="17.42578125" style="1630" customWidth="1"/>
    <col min="8197" max="8197" width="10.85546875" style="1630" customWidth="1"/>
    <col min="8198" max="8203" width="8.5703125" style="1630" customWidth="1"/>
    <col min="8204" max="8448" width="9.140625" style="1630"/>
    <col min="8449" max="8449" width="5.85546875" style="1630" customWidth="1"/>
    <col min="8450" max="8450" width="45.85546875" style="1630" customWidth="1"/>
    <col min="8451" max="8451" width="13" style="1630" customWidth="1"/>
    <col min="8452" max="8452" width="17.42578125" style="1630" customWidth="1"/>
    <col min="8453" max="8453" width="10.85546875" style="1630" customWidth="1"/>
    <col min="8454" max="8459" width="8.5703125" style="1630" customWidth="1"/>
    <col min="8460" max="8704" width="9.140625" style="1630"/>
    <col min="8705" max="8705" width="5.85546875" style="1630" customWidth="1"/>
    <col min="8706" max="8706" width="45.85546875" style="1630" customWidth="1"/>
    <col min="8707" max="8707" width="13" style="1630" customWidth="1"/>
    <col min="8708" max="8708" width="17.42578125" style="1630" customWidth="1"/>
    <col min="8709" max="8709" width="10.85546875" style="1630" customWidth="1"/>
    <col min="8710" max="8715" width="8.5703125" style="1630" customWidth="1"/>
    <col min="8716" max="8960" width="9.140625" style="1630"/>
    <col min="8961" max="8961" width="5.85546875" style="1630" customWidth="1"/>
    <col min="8962" max="8962" width="45.85546875" style="1630" customWidth="1"/>
    <col min="8963" max="8963" width="13" style="1630" customWidth="1"/>
    <col min="8964" max="8964" width="17.42578125" style="1630" customWidth="1"/>
    <col min="8965" max="8965" width="10.85546875" style="1630" customWidth="1"/>
    <col min="8966" max="8971" width="8.5703125" style="1630" customWidth="1"/>
    <col min="8972" max="9216" width="9.140625" style="1630"/>
    <col min="9217" max="9217" width="5.85546875" style="1630" customWidth="1"/>
    <col min="9218" max="9218" width="45.85546875" style="1630" customWidth="1"/>
    <col min="9219" max="9219" width="13" style="1630" customWidth="1"/>
    <col min="9220" max="9220" width="17.42578125" style="1630" customWidth="1"/>
    <col min="9221" max="9221" width="10.85546875" style="1630" customWidth="1"/>
    <col min="9222" max="9227" width="8.5703125" style="1630" customWidth="1"/>
    <col min="9228" max="9472" width="9.140625" style="1630"/>
    <col min="9473" max="9473" width="5.85546875" style="1630" customWidth="1"/>
    <col min="9474" max="9474" width="45.85546875" style="1630" customWidth="1"/>
    <col min="9475" max="9475" width="13" style="1630" customWidth="1"/>
    <col min="9476" max="9476" width="17.42578125" style="1630" customWidth="1"/>
    <col min="9477" max="9477" width="10.85546875" style="1630" customWidth="1"/>
    <col min="9478" max="9483" width="8.5703125" style="1630" customWidth="1"/>
    <col min="9484" max="9728" width="9.140625" style="1630"/>
    <col min="9729" max="9729" width="5.85546875" style="1630" customWidth="1"/>
    <col min="9730" max="9730" width="45.85546875" style="1630" customWidth="1"/>
    <col min="9731" max="9731" width="13" style="1630" customWidth="1"/>
    <col min="9732" max="9732" width="17.42578125" style="1630" customWidth="1"/>
    <col min="9733" max="9733" width="10.85546875" style="1630" customWidth="1"/>
    <col min="9734" max="9739" width="8.5703125" style="1630" customWidth="1"/>
    <col min="9740" max="9984" width="9.140625" style="1630"/>
    <col min="9985" max="9985" width="5.85546875" style="1630" customWidth="1"/>
    <col min="9986" max="9986" width="45.85546875" style="1630" customWidth="1"/>
    <col min="9987" max="9987" width="13" style="1630" customWidth="1"/>
    <col min="9988" max="9988" width="17.42578125" style="1630" customWidth="1"/>
    <col min="9989" max="9989" width="10.85546875" style="1630" customWidth="1"/>
    <col min="9990" max="9995" width="8.5703125" style="1630" customWidth="1"/>
    <col min="9996" max="10240" width="9.140625" style="1630"/>
    <col min="10241" max="10241" width="5.85546875" style="1630" customWidth="1"/>
    <col min="10242" max="10242" width="45.85546875" style="1630" customWidth="1"/>
    <col min="10243" max="10243" width="13" style="1630" customWidth="1"/>
    <col min="10244" max="10244" width="17.42578125" style="1630" customWidth="1"/>
    <col min="10245" max="10245" width="10.85546875" style="1630" customWidth="1"/>
    <col min="10246" max="10251" width="8.5703125" style="1630" customWidth="1"/>
    <col min="10252" max="10496" width="9.140625" style="1630"/>
    <col min="10497" max="10497" width="5.85546875" style="1630" customWidth="1"/>
    <col min="10498" max="10498" width="45.85546875" style="1630" customWidth="1"/>
    <col min="10499" max="10499" width="13" style="1630" customWidth="1"/>
    <col min="10500" max="10500" width="17.42578125" style="1630" customWidth="1"/>
    <col min="10501" max="10501" width="10.85546875" style="1630" customWidth="1"/>
    <col min="10502" max="10507" width="8.5703125" style="1630" customWidth="1"/>
    <col min="10508" max="10752" width="9.140625" style="1630"/>
    <col min="10753" max="10753" width="5.85546875" style="1630" customWidth="1"/>
    <col min="10754" max="10754" width="45.85546875" style="1630" customWidth="1"/>
    <col min="10755" max="10755" width="13" style="1630" customWidth="1"/>
    <col min="10756" max="10756" width="17.42578125" style="1630" customWidth="1"/>
    <col min="10757" max="10757" width="10.85546875" style="1630" customWidth="1"/>
    <col min="10758" max="10763" width="8.5703125" style="1630" customWidth="1"/>
    <col min="10764" max="11008" width="9.140625" style="1630"/>
    <col min="11009" max="11009" width="5.85546875" style="1630" customWidth="1"/>
    <col min="11010" max="11010" width="45.85546875" style="1630" customWidth="1"/>
    <col min="11011" max="11011" width="13" style="1630" customWidth="1"/>
    <col min="11012" max="11012" width="17.42578125" style="1630" customWidth="1"/>
    <col min="11013" max="11013" width="10.85546875" style="1630" customWidth="1"/>
    <col min="11014" max="11019" width="8.5703125" style="1630" customWidth="1"/>
    <col min="11020" max="11264" width="9.140625" style="1630"/>
    <col min="11265" max="11265" width="5.85546875" style="1630" customWidth="1"/>
    <col min="11266" max="11266" width="45.85546875" style="1630" customWidth="1"/>
    <col min="11267" max="11267" width="13" style="1630" customWidth="1"/>
    <col min="11268" max="11268" width="17.42578125" style="1630" customWidth="1"/>
    <col min="11269" max="11269" width="10.85546875" style="1630" customWidth="1"/>
    <col min="11270" max="11275" width="8.5703125" style="1630" customWidth="1"/>
    <col min="11276" max="11520" width="9.140625" style="1630"/>
    <col min="11521" max="11521" width="5.85546875" style="1630" customWidth="1"/>
    <col min="11522" max="11522" width="45.85546875" style="1630" customWidth="1"/>
    <col min="11523" max="11523" width="13" style="1630" customWidth="1"/>
    <col min="11524" max="11524" width="17.42578125" style="1630" customWidth="1"/>
    <col min="11525" max="11525" width="10.85546875" style="1630" customWidth="1"/>
    <col min="11526" max="11531" width="8.5703125" style="1630" customWidth="1"/>
    <col min="11532" max="11776" width="9.140625" style="1630"/>
    <col min="11777" max="11777" width="5.85546875" style="1630" customWidth="1"/>
    <col min="11778" max="11778" width="45.85546875" style="1630" customWidth="1"/>
    <col min="11779" max="11779" width="13" style="1630" customWidth="1"/>
    <col min="11780" max="11780" width="17.42578125" style="1630" customWidth="1"/>
    <col min="11781" max="11781" width="10.85546875" style="1630" customWidth="1"/>
    <col min="11782" max="11787" width="8.5703125" style="1630" customWidth="1"/>
    <col min="11788" max="12032" width="9.140625" style="1630"/>
    <col min="12033" max="12033" width="5.85546875" style="1630" customWidth="1"/>
    <col min="12034" max="12034" width="45.85546875" style="1630" customWidth="1"/>
    <col min="12035" max="12035" width="13" style="1630" customWidth="1"/>
    <col min="12036" max="12036" width="17.42578125" style="1630" customWidth="1"/>
    <col min="12037" max="12037" width="10.85546875" style="1630" customWidth="1"/>
    <col min="12038" max="12043" width="8.5703125" style="1630" customWidth="1"/>
    <col min="12044" max="12288" width="9.140625" style="1630"/>
    <col min="12289" max="12289" width="5.85546875" style="1630" customWidth="1"/>
    <col min="12290" max="12290" width="45.85546875" style="1630" customWidth="1"/>
    <col min="12291" max="12291" width="13" style="1630" customWidth="1"/>
    <col min="12292" max="12292" width="17.42578125" style="1630" customWidth="1"/>
    <col min="12293" max="12293" width="10.85546875" style="1630" customWidth="1"/>
    <col min="12294" max="12299" width="8.5703125" style="1630" customWidth="1"/>
    <col min="12300" max="12544" width="9.140625" style="1630"/>
    <col min="12545" max="12545" width="5.85546875" style="1630" customWidth="1"/>
    <col min="12546" max="12546" width="45.85546875" style="1630" customWidth="1"/>
    <col min="12547" max="12547" width="13" style="1630" customWidth="1"/>
    <col min="12548" max="12548" width="17.42578125" style="1630" customWidth="1"/>
    <col min="12549" max="12549" width="10.85546875" style="1630" customWidth="1"/>
    <col min="12550" max="12555" width="8.5703125" style="1630" customWidth="1"/>
    <col min="12556" max="12800" width="9.140625" style="1630"/>
    <col min="12801" max="12801" width="5.85546875" style="1630" customWidth="1"/>
    <col min="12802" max="12802" width="45.85546875" style="1630" customWidth="1"/>
    <col min="12803" max="12803" width="13" style="1630" customWidth="1"/>
    <col min="12804" max="12804" width="17.42578125" style="1630" customWidth="1"/>
    <col min="12805" max="12805" width="10.85546875" style="1630" customWidth="1"/>
    <col min="12806" max="12811" width="8.5703125" style="1630" customWidth="1"/>
    <col min="12812" max="13056" width="9.140625" style="1630"/>
    <col min="13057" max="13057" width="5.85546875" style="1630" customWidth="1"/>
    <col min="13058" max="13058" width="45.85546875" style="1630" customWidth="1"/>
    <col min="13059" max="13059" width="13" style="1630" customWidth="1"/>
    <col min="13060" max="13060" width="17.42578125" style="1630" customWidth="1"/>
    <col min="13061" max="13061" width="10.85546875" style="1630" customWidth="1"/>
    <col min="13062" max="13067" width="8.5703125" style="1630" customWidth="1"/>
    <col min="13068" max="13312" width="9.140625" style="1630"/>
    <col min="13313" max="13313" width="5.85546875" style="1630" customWidth="1"/>
    <col min="13314" max="13314" width="45.85546875" style="1630" customWidth="1"/>
    <col min="13315" max="13315" width="13" style="1630" customWidth="1"/>
    <col min="13316" max="13316" width="17.42578125" style="1630" customWidth="1"/>
    <col min="13317" max="13317" width="10.85546875" style="1630" customWidth="1"/>
    <col min="13318" max="13323" width="8.5703125" style="1630" customWidth="1"/>
    <col min="13324" max="13568" width="9.140625" style="1630"/>
    <col min="13569" max="13569" width="5.85546875" style="1630" customWidth="1"/>
    <col min="13570" max="13570" width="45.85546875" style="1630" customWidth="1"/>
    <col min="13571" max="13571" width="13" style="1630" customWidth="1"/>
    <col min="13572" max="13572" width="17.42578125" style="1630" customWidth="1"/>
    <col min="13573" max="13573" width="10.85546875" style="1630" customWidth="1"/>
    <col min="13574" max="13579" width="8.5703125" style="1630" customWidth="1"/>
    <col min="13580" max="13824" width="9.140625" style="1630"/>
    <col min="13825" max="13825" width="5.85546875" style="1630" customWidth="1"/>
    <col min="13826" max="13826" width="45.85546875" style="1630" customWidth="1"/>
    <col min="13827" max="13827" width="13" style="1630" customWidth="1"/>
    <col min="13828" max="13828" width="17.42578125" style="1630" customWidth="1"/>
    <col min="13829" max="13829" width="10.85546875" style="1630" customWidth="1"/>
    <col min="13830" max="13835" width="8.5703125" style="1630" customWidth="1"/>
    <col min="13836" max="14080" width="9.140625" style="1630"/>
    <col min="14081" max="14081" width="5.85546875" style="1630" customWidth="1"/>
    <col min="14082" max="14082" width="45.85546875" style="1630" customWidth="1"/>
    <col min="14083" max="14083" width="13" style="1630" customWidth="1"/>
    <col min="14084" max="14084" width="17.42578125" style="1630" customWidth="1"/>
    <col min="14085" max="14085" width="10.85546875" style="1630" customWidth="1"/>
    <col min="14086" max="14091" width="8.5703125" style="1630" customWidth="1"/>
    <col min="14092" max="14336" width="9.140625" style="1630"/>
    <col min="14337" max="14337" width="5.85546875" style="1630" customWidth="1"/>
    <col min="14338" max="14338" width="45.85546875" style="1630" customWidth="1"/>
    <col min="14339" max="14339" width="13" style="1630" customWidth="1"/>
    <col min="14340" max="14340" width="17.42578125" style="1630" customWidth="1"/>
    <col min="14341" max="14341" width="10.85546875" style="1630" customWidth="1"/>
    <col min="14342" max="14347" width="8.5703125" style="1630" customWidth="1"/>
    <col min="14348" max="14592" width="9.140625" style="1630"/>
    <col min="14593" max="14593" width="5.85546875" style="1630" customWidth="1"/>
    <col min="14594" max="14594" width="45.85546875" style="1630" customWidth="1"/>
    <col min="14595" max="14595" width="13" style="1630" customWidth="1"/>
    <col min="14596" max="14596" width="17.42578125" style="1630" customWidth="1"/>
    <col min="14597" max="14597" width="10.85546875" style="1630" customWidth="1"/>
    <col min="14598" max="14603" width="8.5703125" style="1630" customWidth="1"/>
    <col min="14604" max="14848" width="9.140625" style="1630"/>
    <col min="14849" max="14849" width="5.85546875" style="1630" customWidth="1"/>
    <col min="14850" max="14850" width="45.85546875" style="1630" customWidth="1"/>
    <col min="14851" max="14851" width="13" style="1630" customWidth="1"/>
    <col min="14852" max="14852" width="17.42578125" style="1630" customWidth="1"/>
    <col min="14853" max="14853" width="10.85546875" style="1630" customWidth="1"/>
    <col min="14854" max="14859" width="8.5703125" style="1630" customWidth="1"/>
    <col min="14860" max="15104" width="9.140625" style="1630"/>
    <col min="15105" max="15105" width="5.85546875" style="1630" customWidth="1"/>
    <col min="15106" max="15106" width="45.85546875" style="1630" customWidth="1"/>
    <col min="15107" max="15107" width="13" style="1630" customWidth="1"/>
    <col min="15108" max="15108" width="17.42578125" style="1630" customWidth="1"/>
    <col min="15109" max="15109" width="10.85546875" style="1630" customWidth="1"/>
    <col min="15110" max="15115" width="8.5703125" style="1630" customWidth="1"/>
    <col min="15116" max="15360" width="9.140625" style="1630"/>
    <col min="15361" max="15361" width="5.85546875" style="1630" customWidth="1"/>
    <col min="15362" max="15362" width="45.85546875" style="1630" customWidth="1"/>
    <col min="15363" max="15363" width="13" style="1630" customWidth="1"/>
    <col min="15364" max="15364" width="17.42578125" style="1630" customWidth="1"/>
    <col min="15365" max="15365" width="10.85546875" style="1630" customWidth="1"/>
    <col min="15366" max="15371" width="8.5703125" style="1630" customWidth="1"/>
    <col min="15372" max="15616" width="9.140625" style="1630"/>
    <col min="15617" max="15617" width="5.85546875" style="1630" customWidth="1"/>
    <col min="15618" max="15618" width="45.85546875" style="1630" customWidth="1"/>
    <col min="15619" max="15619" width="13" style="1630" customWidth="1"/>
    <col min="15620" max="15620" width="17.42578125" style="1630" customWidth="1"/>
    <col min="15621" max="15621" width="10.85546875" style="1630" customWidth="1"/>
    <col min="15622" max="15627" width="8.5703125" style="1630" customWidth="1"/>
    <col min="15628" max="15872" width="9.140625" style="1630"/>
    <col min="15873" max="15873" width="5.85546875" style="1630" customWidth="1"/>
    <col min="15874" max="15874" width="45.85546875" style="1630" customWidth="1"/>
    <col min="15875" max="15875" width="13" style="1630" customWidth="1"/>
    <col min="15876" max="15876" width="17.42578125" style="1630" customWidth="1"/>
    <col min="15877" max="15877" width="10.85546875" style="1630" customWidth="1"/>
    <col min="15878" max="15883" width="8.5703125" style="1630" customWidth="1"/>
    <col min="15884" max="16128" width="9.140625" style="1630"/>
    <col min="16129" max="16129" width="5.85546875" style="1630" customWidth="1"/>
    <col min="16130" max="16130" width="45.85546875" style="1630" customWidth="1"/>
    <col min="16131" max="16131" width="13" style="1630" customWidth="1"/>
    <col min="16132" max="16132" width="17.42578125" style="1630" customWidth="1"/>
    <col min="16133" max="16133" width="10.85546875" style="1630" customWidth="1"/>
    <col min="16134" max="16139" width="8.5703125" style="1630" customWidth="1"/>
    <col min="16140" max="16384" width="9.140625" style="1630"/>
  </cols>
  <sheetData>
    <row r="1" spans="1:5" hidden="1"/>
    <row r="2" spans="1:5" hidden="1"/>
    <row r="3" spans="1:5" hidden="1">
      <c r="B3" s="1632"/>
      <c r="C3" s="1633"/>
    </row>
    <row r="4" spans="1:5" hidden="1">
      <c r="B4" s="1634"/>
      <c r="C4" s="1635"/>
    </row>
    <row r="5" spans="1:5">
      <c r="B5" s="1634"/>
      <c r="C5" s="1635"/>
    </row>
    <row r="6" spans="1:5">
      <c r="B6" s="1634"/>
      <c r="C6" s="1635"/>
    </row>
    <row r="7" spans="1:5">
      <c r="A7" s="2009" t="s">
        <v>961</v>
      </c>
      <c r="B7" s="2010"/>
      <c r="C7" s="2010"/>
      <c r="D7" s="2010"/>
    </row>
    <row r="8" spans="1:5" ht="12.75" thickBot="1">
      <c r="B8" s="1634"/>
      <c r="C8" s="1635"/>
    </row>
    <row r="9" spans="1:5" ht="12.75" thickBot="1">
      <c r="A9" s="2011" t="s">
        <v>962</v>
      </c>
      <c r="B9" s="2012"/>
      <c r="C9" s="2012"/>
      <c r="D9" s="2013"/>
    </row>
    <row r="10" spans="1:5" ht="24">
      <c r="A10" s="1636" t="s">
        <v>136</v>
      </c>
      <c r="B10" s="1637" t="s">
        <v>110</v>
      </c>
      <c r="C10" s="1638" t="s">
        <v>963</v>
      </c>
      <c r="D10" s="1639" t="s">
        <v>964</v>
      </c>
      <c r="E10" s="1640"/>
    </row>
    <row r="11" spans="1:5">
      <c r="A11" s="1641" t="s">
        <v>60</v>
      </c>
      <c r="B11" s="1642" t="s">
        <v>965</v>
      </c>
      <c r="C11" s="1643">
        <v>109</v>
      </c>
      <c r="D11" s="1644">
        <v>653669</v>
      </c>
    </row>
    <row r="12" spans="1:5">
      <c r="A12" s="1641" t="s">
        <v>61</v>
      </c>
      <c r="B12" s="1645" t="s">
        <v>966</v>
      </c>
      <c r="C12" s="1643">
        <v>6</v>
      </c>
      <c r="D12" s="1644">
        <v>386797</v>
      </c>
    </row>
    <row r="13" spans="1:5">
      <c r="A13" s="1641" t="s">
        <v>62</v>
      </c>
      <c r="B13" s="1645" t="s">
        <v>967</v>
      </c>
      <c r="C13" s="1643">
        <v>41</v>
      </c>
      <c r="D13" s="1644">
        <v>1827536</v>
      </c>
    </row>
    <row r="14" spans="1:5">
      <c r="A14" s="1641" t="s">
        <v>63</v>
      </c>
      <c r="B14" s="1645" t="s">
        <v>968</v>
      </c>
      <c r="C14" s="1643">
        <v>26</v>
      </c>
      <c r="D14" s="1644">
        <v>2363369</v>
      </c>
    </row>
    <row r="15" spans="1:5" ht="12.75" thickBot="1">
      <c r="A15" s="1646" t="s">
        <v>64</v>
      </c>
      <c r="B15" s="1647" t="s">
        <v>969</v>
      </c>
      <c r="C15" s="1648">
        <v>1531</v>
      </c>
      <c r="D15" s="1649">
        <v>12290607</v>
      </c>
    </row>
    <row r="16" spans="1:5" ht="12.75" thickBot="1">
      <c r="A16" s="2014" t="s">
        <v>970</v>
      </c>
      <c r="B16" s="2015"/>
      <c r="C16" s="1650">
        <f>SUM(C11:C15)</f>
        <v>1713</v>
      </c>
      <c r="D16" s="1651">
        <f>SUM(D11:D15)</f>
        <v>17521978</v>
      </c>
    </row>
    <row r="17" spans="1:4" ht="12.75" thickBot="1">
      <c r="A17" s="1652"/>
      <c r="B17" s="1653"/>
      <c r="C17" s="1654"/>
    </row>
    <row r="18" spans="1:4" ht="12.75" thickBot="1">
      <c r="A18" s="2011" t="s">
        <v>971</v>
      </c>
      <c r="B18" s="2012"/>
      <c r="C18" s="2012"/>
      <c r="D18" s="2013"/>
    </row>
    <row r="19" spans="1:4" ht="36">
      <c r="A19" s="1655" t="s">
        <v>136</v>
      </c>
      <c r="B19" s="1656" t="s">
        <v>110</v>
      </c>
      <c r="C19" s="1657" t="s">
        <v>972</v>
      </c>
      <c r="D19" s="1658" t="s">
        <v>973</v>
      </c>
    </row>
    <row r="20" spans="1:4">
      <c r="A20" s="1641" t="s">
        <v>60</v>
      </c>
      <c r="B20" s="1703" t="s">
        <v>1123</v>
      </c>
      <c r="C20" s="1699">
        <v>20</v>
      </c>
      <c r="D20" s="1700">
        <v>13</v>
      </c>
    </row>
    <row r="21" spans="1:4">
      <c r="A21" s="1641" t="s">
        <v>61</v>
      </c>
      <c r="B21" s="1704" t="s">
        <v>1124</v>
      </c>
      <c r="C21" s="1699">
        <v>80</v>
      </c>
      <c r="D21" s="1700">
        <v>80</v>
      </c>
    </row>
    <row r="22" spans="1:4">
      <c r="A22" s="1641" t="s">
        <v>62</v>
      </c>
      <c r="B22" s="1704" t="s">
        <v>1125</v>
      </c>
      <c r="C22" s="1699">
        <v>84</v>
      </c>
      <c r="D22" s="1700">
        <v>84</v>
      </c>
    </row>
    <row r="23" spans="1:4">
      <c r="A23" s="1659" t="s">
        <v>63</v>
      </c>
      <c r="B23" s="1705" t="s">
        <v>1126</v>
      </c>
      <c r="C23" s="1701">
        <v>100</v>
      </c>
      <c r="D23" s="1702">
        <v>67</v>
      </c>
    </row>
    <row r="24" spans="1:4" ht="12.75" thickBot="1">
      <c r="A24" s="1646" t="s">
        <v>64</v>
      </c>
      <c r="B24" s="1706" t="s">
        <v>1127</v>
      </c>
      <c r="C24" s="1701">
        <v>100000</v>
      </c>
      <c r="D24" s="1702">
        <v>100000</v>
      </c>
    </row>
    <row r="25" spans="1:4" s="1661" customFormat="1" ht="12.75" thickBot="1">
      <c r="A25" s="2016" t="s">
        <v>974</v>
      </c>
      <c r="B25" s="2017"/>
      <c r="C25" s="1660">
        <f>SUM(C20:C24)</f>
        <v>100284</v>
      </c>
      <c r="D25" s="1651">
        <f>SUM(D20:D24)</f>
        <v>100244</v>
      </c>
    </row>
    <row r="26" spans="1:4">
      <c r="D26" s="1662"/>
    </row>
  </sheetData>
  <mergeCells count="5">
    <mergeCell ref="A7:D7"/>
    <mergeCell ref="A9:D9"/>
    <mergeCell ref="A16:B16"/>
    <mergeCell ref="A18:D18"/>
    <mergeCell ref="A25:B25"/>
  </mergeCells>
  <pageMargins left="0.7" right="0.7" top="0.75" bottom="0.75" header="0.3" footer="0.3"/>
  <pageSetup paperSize="9" orientation="portrait" r:id="rId1"/>
  <headerFooter>
    <oddHeader>&amp;L&amp;U 21. melléklet a 15/2015. (V.29.) önkormányzati rendelethez*</oddHeader>
    <oddFooter>&amp;L * Áht. 91.§ (2) bekezdés szerint
&amp;CNagykőrös Város Önkormányzat 2014. évi zárszámadási rendelete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2:D160"/>
  <sheetViews>
    <sheetView tabSelected="1" view="pageLayout" zoomScaleNormal="100" workbookViewId="0">
      <selection activeCell="B24" sqref="B24"/>
    </sheetView>
  </sheetViews>
  <sheetFormatPr defaultRowHeight="12.75"/>
  <cols>
    <col min="1" max="1" width="13.140625" bestFit="1" customWidth="1"/>
    <col min="2" max="2" width="67.42578125" customWidth="1"/>
    <col min="3" max="3" width="15.28515625" customWidth="1"/>
    <col min="4" max="4" width="15.140625" customWidth="1"/>
  </cols>
  <sheetData>
    <row r="2" spans="1:4">
      <c r="A2" s="2018" t="s">
        <v>1119</v>
      </c>
      <c r="B2" s="2018"/>
      <c r="C2" s="2018"/>
      <c r="D2" s="2018"/>
    </row>
    <row r="3" spans="1:4" ht="13.5" thickBot="1"/>
    <row r="4" spans="1:4" ht="25.5">
      <c r="A4" s="1717"/>
      <c r="B4" s="1718" t="s">
        <v>110</v>
      </c>
      <c r="C4" s="1719" t="s">
        <v>1130</v>
      </c>
      <c r="D4" s="1720" t="s">
        <v>1131</v>
      </c>
    </row>
    <row r="5" spans="1:4" ht="15">
      <c r="A5" s="1721" t="s">
        <v>975</v>
      </c>
      <c r="B5" s="1722" t="s">
        <v>976</v>
      </c>
      <c r="C5" s="1723"/>
      <c r="D5" s="1724"/>
    </row>
    <row r="6" spans="1:4">
      <c r="A6" s="1721" t="s">
        <v>977</v>
      </c>
      <c r="B6" s="1725" t="s">
        <v>1132</v>
      </c>
      <c r="C6" s="1723">
        <v>6815</v>
      </c>
      <c r="D6" s="1724">
        <v>7973</v>
      </c>
    </row>
    <row r="7" spans="1:4">
      <c r="A7" s="1721" t="s">
        <v>978</v>
      </c>
      <c r="B7" s="1725" t="s">
        <v>1133</v>
      </c>
      <c r="C7" s="1723">
        <v>898</v>
      </c>
      <c r="D7" s="1724">
        <v>769</v>
      </c>
    </row>
    <row r="8" spans="1:4" ht="13.5" thickBot="1">
      <c r="A8" s="1726" t="s">
        <v>979</v>
      </c>
      <c r="B8" s="1727" t="s">
        <v>1134</v>
      </c>
      <c r="C8" s="1728"/>
      <c r="D8" s="1729"/>
    </row>
    <row r="9" spans="1:4" ht="15.75" thickBot="1">
      <c r="A9" s="1730" t="s">
        <v>980</v>
      </c>
      <c r="B9" s="1731" t="s">
        <v>1135</v>
      </c>
      <c r="C9" s="1732">
        <v>7713</v>
      </c>
      <c r="D9" s="1733">
        <v>8742</v>
      </c>
    </row>
    <row r="10" spans="1:4">
      <c r="A10" s="1734" t="s">
        <v>981</v>
      </c>
      <c r="B10" s="1735" t="s">
        <v>1136</v>
      </c>
      <c r="C10" s="1736">
        <v>15233921</v>
      </c>
      <c r="D10" s="1737">
        <v>15010399</v>
      </c>
    </row>
    <row r="11" spans="1:4">
      <c r="A11" s="1721" t="s">
        <v>982</v>
      </c>
      <c r="B11" s="1725" t="s">
        <v>1137</v>
      </c>
      <c r="C11" s="1723">
        <v>330557</v>
      </c>
      <c r="D11" s="1724">
        <v>273317</v>
      </c>
    </row>
    <row r="12" spans="1:4">
      <c r="A12" s="1721" t="s">
        <v>983</v>
      </c>
      <c r="B12" s="1725" t="s">
        <v>1138</v>
      </c>
      <c r="C12" s="1723"/>
      <c r="D12" s="1724"/>
    </row>
    <row r="13" spans="1:4">
      <c r="A13" s="1721" t="s">
        <v>984</v>
      </c>
      <c r="B13" s="1725" t="s">
        <v>1139</v>
      </c>
      <c r="C13" s="1723">
        <v>98795</v>
      </c>
      <c r="D13" s="1724">
        <v>372034</v>
      </c>
    </row>
    <row r="14" spans="1:4" ht="13.5" thickBot="1">
      <c r="A14" s="1726" t="s">
        <v>985</v>
      </c>
      <c r="B14" s="1727" t="s">
        <v>1140</v>
      </c>
      <c r="C14" s="1728"/>
      <c r="D14" s="1729"/>
    </row>
    <row r="15" spans="1:4" ht="15.75" thickBot="1">
      <c r="A15" s="1730" t="s">
        <v>986</v>
      </c>
      <c r="B15" s="1731" t="s">
        <v>1141</v>
      </c>
      <c r="C15" s="1732">
        <v>15663273</v>
      </c>
      <c r="D15" s="1733">
        <v>15655750</v>
      </c>
    </row>
    <row r="16" spans="1:4">
      <c r="A16" s="1734" t="s">
        <v>987</v>
      </c>
      <c r="B16" s="1735" t="s">
        <v>1142</v>
      </c>
      <c r="C16" s="1736">
        <v>100277</v>
      </c>
      <c r="D16" s="1737">
        <v>100244</v>
      </c>
    </row>
    <row r="17" spans="1:4">
      <c r="A17" s="1721" t="s">
        <v>988</v>
      </c>
      <c r="B17" s="1725" t="s">
        <v>1143</v>
      </c>
      <c r="C17" s="1723"/>
      <c r="D17" s="1724"/>
    </row>
    <row r="18" spans="1:4">
      <c r="A18" s="1721" t="s">
        <v>989</v>
      </c>
      <c r="B18" s="1725" t="s">
        <v>1144</v>
      </c>
      <c r="C18" s="1723"/>
      <c r="D18" s="1724"/>
    </row>
    <row r="19" spans="1:4">
      <c r="A19" s="1721" t="s">
        <v>990</v>
      </c>
      <c r="B19" s="1725" t="s">
        <v>1145</v>
      </c>
      <c r="C19" s="1723">
        <v>77829</v>
      </c>
      <c r="D19" s="1724"/>
    </row>
    <row r="20" spans="1:4">
      <c r="A20" s="1721" t="s">
        <v>991</v>
      </c>
      <c r="B20" s="1725" t="s">
        <v>1146</v>
      </c>
      <c r="C20" s="1723"/>
      <c r="D20" s="1724"/>
    </row>
    <row r="21" spans="1:4">
      <c r="A21" s="1721" t="s">
        <v>992</v>
      </c>
      <c r="B21" s="1725" t="s">
        <v>1147</v>
      </c>
      <c r="C21" s="1723"/>
      <c r="D21" s="1724"/>
    </row>
    <row r="22" spans="1:4" ht="13.5" thickBot="1">
      <c r="A22" s="1726" t="s">
        <v>993</v>
      </c>
      <c r="B22" s="1727" t="s">
        <v>1148</v>
      </c>
      <c r="C22" s="1728"/>
      <c r="D22" s="1729"/>
    </row>
    <row r="23" spans="1:4" ht="30.75" thickBot="1">
      <c r="A23" s="1730" t="s">
        <v>994</v>
      </c>
      <c r="B23" s="1731" t="s">
        <v>1149</v>
      </c>
      <c r="C23" s="1732">
        <v>178106</v>
      </c>
      <c r="D23" s="1733">
        <v>100244</v>
      </c>
    </row>
    <row r="24" spans="1:4">
      <c r="A24" s="1734" t="s">
        <v>995</v>
      </c>
      <c r="B24" s="1735" t="s">
        <v>1150</v>
      </c>
      <c r="C24" s="1736"/>
      <c r="D24" s="1737"/>
    </row>
    <row r="25" spans="1:4" ht="26.25" thickBot="1">
      <c r="A25" s="1726" t="s">
        <v>996</v>
      </c>
      <c r="B25" s="1727" t="s">
        <v>1151</v>
      </c>
      <c r="C25" s="1728"/>
      <c r="D25" s="1729"/>
    </row>
    <row r="26" spans="1:4" ht="30.75" thickBot="1">
      <c r="A26" s="1730" t="s">
        <v>997</v>
      </c>
      <c r="B26" s="1731" t="s">
        <v>1152</v>
      </c>
      <c r="C26" s="1732"/>
      <c r="D26" s="1733"/>
    </row>
    <row r="27" spans="1:4" ht="30.75" thickBot="1">
      <c r="A27" s="1730" t="s">
        <v>998</v>
      </c>
      <c r="B27" s="1731" t="s">
        <v>1153</v>
      </c>
      <c r="C27" s="1732">
        <v>15849092</v>
      </c>
      <c r="D27" s="1733">
        <v>15764736</v>
      </c>
    </row>
    <row r="28" spans="1:4">
      <c r="A28" s="1734" t="s">
        <v>999</v>
      </c>
      <c r="B28" s="1735" t="s">
        <v>1154</v>
      </c>
      <c r="C28" s="1736">
        <v>4089</v>
      </c>
      <c r="D28" s="1737">
        <v>7734</v>
      </c>
    </row>
    <row r="29" spans="1:4">
      <c r="A29" s="1721" t="s">
        <v>1000</v>
      </c>
      <c r="B29" s="1725" t="s">
        <v>1155</v>
      </c>
      <c r="C29" s="1723"/>
      <c r="D29" s="1724"/>
    </row>
    <row r="30" spans="1:4">
      <c r="A30" s="1721" t="s">
        <v>1001</v>
      </c>
      <c r="B30" s="1725" t="s">
        <v>1156</v>
      </c>
      <c r="C30" s="1723"/>
      <c r="D30" s="1724"/>
    </row>
    <row r="31" spans="1:4">
      <c r="A31" s="1721" t="s">
        <v>1002</v>
      </c>
      <c r="B31" s="1725" t="s">
        <v>1157</v>
      </c>
      <c r="C31" s="1723"/>
      <c r="D31" s="1724"/>
    </row>
    <row r="32" spans="1:4" ht="13.5" thickBot="1">
      <c r="A32" s="1726" t="s">
        <v>1003</v>
      </c>
      <c r="B32" s="1727" t="s">
        <v>1158</v>
      </c>
      <c r="C32" s="1728"/>
      <c r="D32" s="1729"/>
    </row>
    <row r="33" spans="1:4" ht="15.75" thickBot="1">
      <c r="A33" s="1730" t="s">
        <v>1004</v>
      </c>
      <c r="B33" s="1731" t="s">
        <v>1159</v>
      </c>
      <c r="C33" s="1732">
        <v>4089</v>
      </c>
      <c r="D33" s="1733">
        <v>7734</v>
      </c>
    </row>
    <row r="34" spans="1:4">
      <c r="A34" s="1734" t="s">
        <v>1005</v>
      </c>
      <c r="B34" s="1735" t="s">
        <v>1160</v>
      </c>
      <c r="C34" s="1736"/>
      <c r="D34" s="1737"/>
    </row>
    <row r="35" spans="1:4" ht="25.5">
      <c r="A35" s="1721" t="s">
        <v>1006</v>
      </c>
      <c r="B35" s="1725" t="s">
        <v>1161</v>
      </c>
      <c r="C35" s="1723">
        <v>489345</v>
      </c>
      <c r="D35" s="1724">
        <v>797143</v>
      </c>
    </row>
    <row r="36" spans="1:4">
      <c r="A36" s="1721" t="s">
        <v>1007</v>
      </c>
      <c r="B36" s="1725" t="s">
        <v>1162</v>
      </c>
      <c r="C36" s="1723"/>
      <c r="D36" s="1724"/>
    </row>
    <row r="37" spans="1:4">
      <c r="A37" s="1721" t="s">
        <v>1008</v>
      </c>
      <c r="B37" s="1725" t="s">
        <v>1163</v>
      </c>
      <c r="C37" s="1723"/>
      <c r="D37" s="1724"/>
    </row>
    <row r="38" spans="1:4">
      <c r="A38" s="1721" t="s">
        <v>1009</v>
      </c>
      <c r="B38" s="1725" t="s">
        <v>1164</v>
      </c>
      <c r="C38" s="1723"/>
      <c r="D38" s="1724"/>
    </row>
    <row r="39" spans="1:4">
      <c r="A39" s="1721" t="s">
        <v>1010</v>
      </c>
      <c r="B39" s="1725" t="s">
        <v>1165</v>
      </c>
      <c r="C39" s="1723"/>
      <c r="D39" s="1724"/>
    </row>
    <row r="40" spans="1:4" ht="13.5" thickBot="1">
      <c r="A40" s="1726" t="s">
        <v>1011</v>
      </c>
      <c r="B40" s="1727" t="s">
        <v>1166</v>
      </c>
      <c r="C40" s="1728"/>
      <c r="D40" s="1729"/>
    </row>
    <row r="41" spans="1:4" ht="15.75" thickBot="1">
      <c r="A41" s="1730" t="s">
        <v>1012</v>
      </c>
      <c r="B41" s="1731" t="s">
        <v>1167</v>
      </c>
      <c r="C41" s="1732">
        <v>489345</v>
      </c>
      <c r="D41" s="1733">
        <v>797143</v>
      </c>
    </row>
    <row r="42" spans="1:4" ht="30.75" thickBot="1">
      <c r="A42" s="1738" t="s">
        <v>1013</v>
      </c>
      <c r="B42" s="1739" t="s">
        <v>1168</v>
      </c>
      <c r="C42" s="1740">
        <v>493434</v>
      </c>
      <c r="D42" s="1741">
        <v>804877</v>
      </c>
    </row>
    <row r="43" spans="1:4">
      <c r="A43" s="1734" t="s">
        <v>1014</v>
      </c>
      <c r="B43" s="1735" t="s">
        <v>1169</v>
      </c>
      <c r="C43" s="1736"/>
      <c r="D43" s="1737"/>
    </row>
    <row r="44" spans="1:4">
      <c r="A44" s="1721" t="s">
        <v>1015</v>
      </c>
      <c r="B44" s="1725" t="s">
        <v>1170</v>
      </c>
      <c r="C44" s="1723">
        <v>5039</v>
      </c>
      <c r="D44" s="1724">
        <v>5959</v>
      </c>
    </row>
    <row r="45" spans="1:4">
      <c r="A45" s="1721" t="s">
        <v>1016</v>
      </c>
      <c r="B45" s="1725" t="s">
        <v>1171</v>
      </c>
      <c r="C45" s="1723">
        <v>845552</v>
      </c>
      <c r="D45" s="1724">
        <v>658272</v>
      </c>
    </row>
    <row r="46" spans="1:4">
      <c r="A46" s="1721" t="s">
        <v>1017</v>
      </c>
      <c r="B46" s="1725" t="s">
        <v>1172</v>
      </c>
      <c r="C46" s="1723"/>
      <c r="D46" s="1724"/>
    </row>
    <row r="47" spans="1:4">
      <c r="A47" s="1721" t="s">
        <v>1018</v>
      </c>
      <c r="B47" s="1725" t="s">
        <v>1173</v>
      </c>
      <c r="C47" s="1723">
        <v>3561</v>
      </c>
      <c r="D47" s="1724">
        <v>79</v>
      </c>
    </row>
    <row r="48" spans="1:4" ht="15">
      <c r="A48" s="1742" t="s">
        <v>1019</v>
      </c>
      <c r="B48" s="1743" t="s">
        <v>1174</v>
      </c>
      <c r="C48" s="1744">
        <v>854152</v>
      </c>
      <c r="D48" s="1745">
        <v>664310</v>
      </c>
    </row>
    <row r="49" spans="1:4" ht="25.5">
      <c r="A49" s="1721" t="s">
        <v>1020</v>
      </c>
      <c r="B49" s="1725" t="s">
        <v>1175</v>
      </c>
      <c r="C49" s="1723">
        <v>122825</v>
      </c>
      <c r="D49" s="1724"/>
    </row>
    <row r="50" spans="1:4" ht="38.25">
      <c r="A50" s="1721" t="s">
        <v>1021</v>
      </c>
      <c r="B50" s="1725" t="s">
        <v>1176</v>
      </c>
      <c r="C50" s="1723">
        <v>350</v>
      </c>
      <c r="D50" s="1724"/>
    </row>
    <row r="51" spans="1:4" ht="25.5">
      <c r="A51" s="1721" t="s">
        <v>1022</v>
      </c>
      <c r="B51" s="1725" t="s">
        <v>1177</v>
      </c>
      <c r="C51" s="1723"/>
      <c r="D51" s="1724"/>
    </row>
    <row r="52" spans="1:4" ht="38.25">
      <c r="A52" s="1721" t="s">
        <v>1023</v>
      </c>
      <c r="B52" s="1725" t="s">
        <v>1178</v>
      </c>
      <c r="C52" s="1723"/>
      <c r="D52" s="1724"/>
    </row>
    <row r="53" spans="1:4">
      <c r="A53" s="1721" t="s">
        <v>1024</v>
      </c>
      <c r="B53" s="1725" t="s">
        <v>1179</v>
      </c>
      <c r="C53" s="1723">
        <v>302331</v>
      </c>
      <c r="D53" s="1724">
        <v>137260</v>
      </c>
    </row>
    <row r="54" spans="1:4">
      <c r="A54" s="1721" t="s">
        <v>1025</v>
      </c>
      <c r="B54" s="1725" t="s">
        <v>1180</v>
      </c>
      <c r="C54" s="1723">
        <v>12332</v>
      </c>
      <c r="D54" s="1724">
        <v>15121</v>
      </c>
    </row>
    <row r="55" spans="1:4">
      <c r="A55" s="1721" t="s">
        <v>1026</v>
      </c>
      <c r="B55" s="1725" t="s">
        <v>1181</v>
      </c>
      <c r="C55" s="1723"/>
      <c r="D55" s="1724"/>
    </row>
    <row r="56" spans="1:4" ht="25.5">
      <c r="A56" s="1721" t="s">
        <v>1027</v>
      </c>
      <c r="B56" s="1725" t="s">
        <v>1182</v>
      </c>
      <c r="C56" s="1723"/>
      <c r="D56" s="1724">
        <v>38</v>
      </c>
    </row>
    <row r="57" spans="1:4" ht="38.25">
      <c r="A57" s="1721" t="s">
        <v>1028</v>
      </c>
      <c r="B57" s="1725" t="s">
        <v>1183</v>
      </c>
      <c r="C57" s="1723"/>
      <c r="D57" s="1724"/>
    </row>
    <row r="58" spans="1:4" ht="25.5">
      <c r="A58" s="1721" t="s">
        <v>1029</v>
      </c>
      <c r="B58" s="1725" t="s">
        <v>1184</v>
      </c>
      <c r="C58" s="1723"/>
      <c r="D58" s="1724"/>
    </row>
    <row r="59" spans="1:4" ht="38.25">
      <c r="A59" s="1721" t="s">
        <v>1030</v>
      </c>
      <c r="B59" s="1725" t="s">
        <v>1185</v>
      </c>
      <c r="C59" s="1723"/>
      <c r="D59" s="1724"/>
    </row>
    <row r="60" spans="1:4" ht="25.5">
      <c r="A60" s="1721" t="s">
        <v>1031</v>
      </c>
      <c r="B60" s="1725" t="s">
        <v>1186</v>
      </c>
      <c r="C60" s="1723"/>
      <c r="D60" s="1724"/>
    </row>
    <row r="61" spans="1:4" ht="25.5">
      <c r="A61" s="1721" t="s">
        <v>1032</v>
      </c>
      <c r="B61" s="1725" t="s">
        <v>1187</v>
      </c>
      <c r="C61" s="1723"/>
      <c r="D61" s="1724"/>
    </row>
    <row r="62" spans="1:4" ht="25.5">
      <c r="A62" s="1721" t="s">
        <v>1033</v>
      </c>
      <c r="B62" s="1725" t="s">
        <v>1188</v>
      </c>
      <c r="C62" s="1723">
        <v>437488</v>
      </c>
      <c r="D62" s="1724">
        <v>152419</v>
      </c>
    </row>
    <row r="63" spans="1:4" ht="25.5">
      <c r="A63" s="1721" t="s">
        <v>1034</v>
      </c>
      <c r="B63" s="1725" t="s">
        <v>1189</v>
      </c>
      <c r="C63" s="1723"/>
      <c r="D63" s="1724"/>
    </row>
    <row r="64" spans="1:4" ht="38.25">
      <c r="A64" s="1721" t="s">
        <v>1035</v>
      </c>
      <c r="B64" s="1725" t="s">
        <v>1190</v>
      </c>
      <c r="C64" s="1723"/>
      <c r="D64" s="1724"/>
    </row>
    <row r="65" spans="1:4" ht="25.5">
      <c r="A65" s="1721" t="s">
        <v>1036</v>
      </c>
      <c r="B65" s="1725" t="s">
        <v>1191</v>
      </c>
      <c r="C65" s="1723"/>
      <c r="D65" s="1724"/>
    </row>
    <row r="66" spans="1:4" ht="38.25">
      <c r="A66" s="1721" t="s">
        <v>1037</v>
      </c>
      <c r="B66" s="1725" t="s">
        <v>1192</v>
      </c>
      <c r="C66" s="1723"/>
      <c r="D66" s="1724"/>
    </row>
    <row r="67" spans="1:4" ht="25.5">
      <c r="A67" s="1721" t="s">
        <v>1038</v>
      </c>
      <c r="B67" s="1725" t="s">
        <v>1193</v>
      </c>
      <c r="C67" s="1723"/>
      <c r="D67" s="1724"/>
    </row>
    <row r="68" spans="1:4" ht="25.5">
      <c r="A68" s="1721" t="s">
        <v>1039</v>
      </c>
      <c r="B68" s="1725" t="s">
        <v>1194</v>
      </c>
      <c r="C68" s="1723"/>
      <c r="D68" s="1724"/>
    </row>
    <row r="69" spans="1:4" ht="25.5">
      <c r="A69" s="1721" t="s">
        <v>1040</v>
      </c>
      <c r="B69" s="1725" t="s">
        <v>1195</v>
      </c>
      <c r="C69" s="1723"/>
      <c r="D69" s="1724"/>
    </row>
    <row r="70" spans="1:4" ht="25.5">
      <c r="A70" s="1721" t="s">
        <v>1041</v>
      </c>
      <c r="B70" s="1725" t="s">
        <v>1196</v>
      </c>
      <c r="C70" s="1723"/>
      <c r="D70" s="1724"/>
    </row>
    <row r="71" spans="1:4" ht="38.25">
      <c r="A71" s="1721" t="s">
        <v>1042</v>
      </c>
      <c r="B71" s="1725" t="s">
        <v>1197</v>
      </c>
      <c r="C71" s="1723"/>
      <c r="D71" s="1724"/>
    </row>
    <row r="72" spans="1:4" ht="25.5">
      <c r="A72" s="1721" t="s">
        <v>1043</v>
      </c>
      <c r="B72" s="1725" t="s">
        <v>1198</v>
      </c>
      <c r="C72" s="1723"/>
      <c r="D72" s="1724"/>
    </row>
    <row r="73" spans="1:4" ht="38.25">
      <c r="A73" s="1721" t="s">
        <v>1044</v>
      </c>
      <c r="B73" s="1725" t="s">
        <v>1199</v>
      </c>
      <c r="C73" s="1723"/>
      <c r="D73" s="1724"/>
    </row>
    <row r="74" spans="1:4" ht="25.5">
      <c r="A74" s="1721" t="s">
        <v>1045</v>
      </c>
      <c r="B74" s="1725" t="s">
        <v>1200</v>
      </c>
      <c r="C74" s="1723"/>
      <c r="D74" s="1724"/>
    </row>
    <row r="75" spans="1:4" ht="25.5">
      <c r="A75" s="1721" t="s">
        <v>1046</v>
      </c>
      <c r="B75" s="1725" t="s">
        <v>1201</v>
      </c>
      <c r="C75" s="1723"/>
      <c r="D75" s="1724"/>
    </row>
    <row r="76" spans="1:4" ht="25.5">
      <c r="A76" s="1721" t="s">
        <v>1047</v>
      </c>
      <c r="B76" s="1725" t="s">
        <v>1202</v>
      </c>
      <c r="C76" s="1723">
        <v>9659</v>
      </c>
      <c r="D76" s="1724"/>
    </row>
    <row r="77" spans="1:4">
      <c r="A77" s="1721" t="s">
        <v>1048</v>
      </c>
      <c r="B77" s="1725" t="s">
        <v>1203</v>
      </c>
      <c r="C77" s="1723"/>
      <c r="D77" s="1724">
        <v>17056</v>
      </c>
    </row>
    <row r="78" spans="1:4">
      <c r="A78" s="1721" t="s">
        <v>1049</v>
      </c>
      <c r="B78" s="1725" t="s">
        <v>1204</v>
      </c>
      <c r="C78" s="1723"/>
      <c r="D78" s="1724"/>
    </row>
    <row r="79" spans="1:4">
      <c r="A79" s="1721" t="s">
        <v>1050</v>
      </c>
      <c r="B79" s="1725" t="s">
        <v>1205</v>
      </c>
      <c r="C79" s="1723"/>
      <c r="D79" s="1724"/>
    </row>
    <row r="80" spans="1:4">
      <c r="A80" s="1721" t="s">
        <v>1051</v>
      </c>
      <c r="B80" s="1725" t="s">
        <v>1206</v>
      </c>
      <c r="C80" s="1723"/>
      <c r="D80" s="1724"/>
    </row>
    <row r="81" spans="1:4">
      <c r="A81" s="1721" t="s">
        <v>1053</v>
      </c>
      <c r="B81" s="1725" t="s">
        <v>1207</v>
      </c>
      <c r="C81" s="1723"/>
      <c r="D81" s="1724">
        <v>17056</v>
      </c>
    </row>
    <row r="82" spans="1:4">
      <c r="A82" s="1721" t="s">
        <v>1054</v>
      </c>
      <c r="B82" s="1725" t="s">
        <v>1208</v>
      </c>
      <c r="C82" s="1723"/>
      <c r="D82" s="1724"/>
    </row>
    <row r="83" spans="1:4">
      <c r="A83" s="1721" t="s">
        <v>1055</v>
      </c>
      <c r="B83" s="1725" t="s">
        <v>1209</v>
      </c>
      <c r="C83" s="1723"/>
      <c r="D83" s="1724"/>
    </row>
    <row r="84" spans="1:4">
      <c r="A84" s="1721" t="s">
        <v>1056</v>
      </c>
      <c r="B84" s="1725" t="s">
        <v>1210</v>
      </c>
      <c r="C84" s="1723"/>
      <c r="D84" s="1724"/>
    </row>
    <row r="85" spans="1:4">
      <c r="A85" s="1721" t="s">
        <v>1057</v>
      </c>
      <c r="B85" s="1725" t="s">
        <v>1211</v>
      </c>
      <c r="C85" s="1723"/>
      <c r="D85" s="1724"/>
    </row>
    <row r="86" spans="1:4" ht="25.5">
      <c r="A86" s="1721" t="s">
        <v>1058</v>
      </c>
      <c r="B86" s="1725" t="s">
        <v>1212</v>
      </c>
      <c r="C86" s="1723"/>
      <c r="D86" s="1724"/>
    </row>
    <row r="87" spans="1:4" ht="25.5">
      <c r="A87" s="1721" t="s">
        <v>1059</v>
      </c>
      <c r="B87" s="1725" t="s">
        <v>1213</v>
      </c>
      <c r="C87" s="1723"/>
      <c r="D87" s="1724"/>
    </row>
    <row r="88" spans="1:4" ht="25.5">
      <c r="A88" s="1721" t="s">
        <v>1060</v>
      </c>
      <c r="B88" s="1725" t="s">
        <v>1214</v>
      </c>
      <c r="C88" s="1723"/>
      <c r="D88" s="1724"/>
    </row>
    <row r="89" spans="1:4" ht="26.25" thickBot="1">
      <c r="A89" s="1726" t="s">
        <v>1061</v>
      </c>
      <c r="B89" s="1727" t="s">
        <v>1215</v>
      </c>
      <c r="C89" s="1728"/>
      <c r="D89" s="1729">
        <v>17056</v>
      </c>
    </row>
    <row r="90" spans="1:4" ht="15.75" thickBot="1">
      <c r="A90" s="1730" t="s">
        <v>1062</v>
      </c>
      <c r="B90" s="1731" t="s">
        <v>1216</v>
      </c>
      <c r="C90" s="1732">
        <v>447147</v>
      </c>
      <c r="D90" s="1733">
        <v>169475</v>
      </c>
    </row>
    <row r="91" spans="1:4">
      <c r="A91" s="1734" t="s">
        <v>1063</v>
      </c>
      <c r="B91" s="1735" t="s">
        <v>1217</v>
      </c>
      <c r="C91" s="1736">
        <v>64799</v>
      </c>
      <c r="D91" s="1737">
        <v>64174</v>
      </c>
    </row>
    <row r="92" spans="1:4">
      <c r="A92" s="1721" t="s">
        <v>1064</v>
      </c>
      <c r="B92" s="1725" t="s">
        <v>1218</v>
      </c>
      <c r="C92" s="1723"/>
      <c r="D92" s="1724"/>
    </row>
    <row r="93" spans="1:4">
      <c r="A93" s="1721" t="s">
        <v>1065</v>
      </c>
      <c r="B93" s="1725" t="s">
        <v>1219</v>
      </c>
      <c r="C93" s="1723"/>
      <c r="D93" s="1724">
        <v>65</v>
      </c>
    </row>
    <row r="94" spans="1:4">
      <c r="A94" s="1721" t="s">
        <v>1066</v>
      </c>
      <c r="B94" s="1725" t="s">
        <v>1220</v>
      </c>
      <c r="C94" s="1723"/>
      <c r="D94" s="1724"/>
    </row>
    <row r="95" spans="1:4">
      <c r="A95" s="1721" t="s">
        <v>1067</v>
      </c>
      <c r="B95" s="1725" t="s">
        <v>1221</v>
      </c>
      <c r="C95" s="1723"/>
      <c r="D95" s="1724">
        <v>65</v>
      </c>
    </row>
    <row r="96" spans="1:4" ht="15">
      <c r="A96" s="1742" t="s">
        <v>1068</v>
      </c>
      <c r="B96" s="1743" t="s">
        <v>1222</v>
      </c>
      <c r="C96" s="1744">
        <v>17708624</v>
      </c>
      <c r="D96" s="1745">
        <v>17467637</v>
      </c>
    </row>
    <row r="97" spans="1:4" ht="15">
      <c r="A97" s="1721" t="s">
        <v>975</v>
      </c>
      <c r="B97" s="1743" t="s">
        <v>1052</v>
      </c>
      <c r="C97" s="1723"/>
      <c r="D97" s="1724"/>
    </row>
    <row r="98" spans="1:4">
      <c r="A98" s="1721" t="s">
        <v>1069</v>
      </c>
      <c r="B98" s="1725" t="s">
        <v>1223</v>
      </c>
      <c r="C98" s="1723">
        <v>18784027</v>
      </c>
      <c r="D98" s="1724">
        <v>18784027</v>
      </c>
    </row>
    <row r="99" spans="1:4">
      <c r="A99" s="1721" t="s">
        <v>1070</v>
      </c>
      <c r="B99" s="1725" t="s">
        <v>1224</v>
      </c>
      <c r="C99" s="1723"/>
      <c r="D99" s="1724">
        <v>-142455</v>
      </c>
    </row>
    <row r="100" spans="1:4">
      <c r="A100" s="1721" t="s">
        <v>1071</v>
      </c>
      <c r="B100" s="1725" t="s">
        <v>1225</v>
      </c>
      <c r="C100" s="1723">
        <v>850591</v>
      </c>
      <c r="D100" s="1724">
        <v>850591</v>
      </c>
    </row>
    <row r="101" spans="1:4">
      <c r="A101" s="1721" t="s">
        <v>1072</v>
      </c>
      <c r="B101" s="1725" t="s">
        <v>1226</v>
      </c>
      <c r="C101" s="1723">
        <v>-2458796</v>
      </c>
      <c r="D101" s="1724">
        <v>-2458796</v>
      </c>
    </row>
    <row r="102" spans="1:4">
      <c r="A102" s="1721" t="s">
        <v>1073</v>
      </c>
      <c r="B102" s="1725" t="s">
        <v>1227</v>
      </c>
      <c r="C102" s="1723"/>
      <c r="D102" s="1724"/>
    </row>
    <row r="103" spans="1:4" ht="13.5" thickBot="1">
      <c r="A103" s="1726" t="s">
        <v>1074</v>
      </c>
      <c r="B103" s="1727" t="s">
        <v>1228</v>
      </c>
      <c r="C103" s="1728"/>
      <c r="D103" s="1729">
        <v>137741</v>
      </c>
    </row>
    <row r="104" spans="1:4" ht="15.75" thickBot="1">
      <c r="A104" s="1730" t="s">
        <v>1075</v>
      </c>
      <c r="B104" s="1731" t="s">
        <v>1229</v>
      </c>
      <c r="C104" s="1732">
        <v>17175822</v>
      </c>
      <c r="D104" s="1733">
        <v>17171108</v>
      </c>
    </row>
    <row r="105" spans="1:4" ht="25.5">
      <c r="A105" s="1734" t="s">
        <v>1076</v>
      </c>
      <c r="B105" s="1735" t="s">
        <v>1230</v>
      </c>
      <c r="C105" s="1736"/>
      <c r="D105" s="1737">
        <v>1283</v>
      </c>
    </row>
    <row r="106" spans="1:4" ht="25.5">
      <c r="A106" s="1721" t="s">
        <v>1077</v>
      </c>
      <c r="B106" s="1725" t="s">
        <v>1231</v>
      </c>
      <c r="C106" s="1723"/>
      <c r="D106" s="1724"/>
    </row>
    <row r="107" spans="1:4">
      <c r="A107" s="1721" t="s">
        <v>1078</v>
      </c>
      <c r="B107" s="1725" t="s">
        <v>1232</v>
      </c>
      <c r="C107" s="1723">
        <v>2578</v>
      </c>
      <c r="D107" s="1724">
        <v>15983</v>
      </c>
    </row>
    <row r="108" spans="1:4" ht="25.5">
      <c r="A108" s="1721" t="s">
        <v>1079</v>
      </c>
      <c r="B108" s="1725" t="s">
        <v>1233</v>
      </c>
      <c r="C108" s="1723"/>
      <c r="D108" s="1724"/>
    </row>
    <row r="109" spans="1:4" ht="25.5">
      <c r="A109" s="1721" t="s">
        <v>1080</v>
      </c>
      <c r="B109" s="1725" t="s">
        <v>1234</v>
      </c>
      <c r="C109" s="1723"/>
      <c r="D109" s="1724"/>
    </row>
    <row r="110" spans="1:4" ht="38.25">
      <c r="A110" s="1721" t="s">
        <v>1081</v>
      </c>
      <c r="B110" s="1725" t="s">
        <v>1235</v>
      </c>
      <c r="C110" s="1723"/>
      <c r="D110" s="1724"/>
    </row>
    <row r="111" spans="1:4">
      <c r="A111" s="1721" t="s">
        <v>1082</v>
      </c>
      <c r="B111" s="1725" t="s">
        <v>1236</v>
      </c>
      <c r="C111" s="1723"/>
      <c r="D111" s="1724"/>
    </row>
    <row r="112" spans="1:4">
      <c r="A112" s="1721" t="s">
        <v>1083</v>
      </c>
      <c r="B112" s="1725" t="s">
        <v>1237</v>
      </c>
      <c r="C112" s="1723"/>
      <c r="D112" s="1724">
        <v>11859</v>
      </c>
    </row>
    <row r="113" spans="1:4" ht="25.5">
      <c r="A113" s="1721" t="s">
        <v>1084</v>
      </c>
      <c r="B113" s="1725" t="s">
        <v>1238</v>
      </c>
      <c r="C113" s="1723"/>
      <c r="D113" s="1724"/>
    </row>
    <row r="114" spans="1:4" ht="38.25">
      <c r="A114" s="1721" t="s">
        <v>1085</v>
      </c>
      <c r="B114" s="1725" t="s">
        <v>1239</v>
      </c>
      <c r="C114" s="1723"/>
      <c r="D114" s="1724"/>
    </row>
    <row r="115" spans="1:4" ht="25.5">
      <c r="A115" s="1721" t="s">
        <v>1086</v>
      </c>
      <c r="B115" s="1725" t="s">
        <v>1240</v>
      </c>
      <c r="C115" s="1723">
        <v>459423</v>
      </c>
      <c r="D115" s="1724"/>
    </row>
    <row r="116" spans="1:4" ht="25.5">
      <c r="A116" s="1721" t="s">
        <v>1087</v>
      </c>
      <c r="B116" s="1725" t="s">
        <v>1241</v>
      </c>
      <c r="C116" s="1723"/>
      <c r="D116" s="1724"/>
    </row>
    <row r="117" spans="1:4" ht="25.5">
      <c r="A117" s="1721" t="s">
        <v>1088</v>
      </c>
      <c r="B117" s="1725" t="s">
        <v>1242</v>
      </c>
      <c r="C117" s="1723"/>
      <c r="D117" s="1724"/>
    </row>
    <row r="118" spans="1:4" ht="25.5">
      <c r="A118" s="1721" t="s">
        <v>1089</v>
      </c>
      <c r="B118" s="1725" t="s">
        <v>1243</v>
      </c>
      <c r="C118" s="1723"/>
      <c r="D118" s="1724"/>
    </row>
    <row r="119" spans="1:4" ht="25.5">
      <c r="A119" s="1721" t="s">
        <v>1090</v>
      </c>
      <c r="B119" s="1725" t="s">
        <v>1244</v>
      </c>
      <c r="C119" s="1723">
        <v>459423</v>
      </c>
      <c r="D119" s="1724"/>
    </row>
    <row r="120" spans="1:4" ht="25.5">
      <c r="A120" s="1721" t="s">
        <v>1091</v>
      </c>
      <c r="B120" s="1725" t="s">
        <v>1245</v>
      </c>
      <c r="C120" s="1723"/>
      <c r="D120" s="1724"/>
    </row>
    <row r="121" spans="1:4" ht="25.5">
      <c r="A121" s="1721" t="s">
        <v>1092</v>
      </c>
      <c r="B121" s="1725" t="s">
        <v>1246</v>
      </c>
      <c r="C121" s="1723"/>
      <c r="D121" s="1724"/>
    </row>
    <row r="122" spans="1:4" ht="25.5">
      <c r="A122" s="1721" t="s">
        <v>1093</v>
      </c>
      <c r="B122" s="1725" t="s">
        <v>1247</v>
      </c>
      <c r="C122" s="1723"/>
      <c r="D122" s="1724"/>
    </row>
    <row r="123" spans="1:4" ht="25.5">
      <c r="A123" s="1721" t="s">
        <v>1094</v>
      </c>
      <c r="B123" s="1725" t="s">
        <v>1248</v>
      </c>
      <c r="C123" s="1723"/>
      <c r="D123" s="1724"/>
    </row>
    <row r="124" spans="1:4" ht="25.5">
      <c r="A124" s="1721" t="s">
        <v>1095</v>
      </c>
      <c r="B124" s="1725" t="s">
        <v>1249</v>
      </c>
      <c r="C124" s="1723">
        <v>462001</v>
      </c>
      <c r="D124" s="1724">
        <v>29125</v>
      </c>
    </row>
    <row r="125" spans="1:4" ht="25.5">
      <c r="A125" s="1721" t="s">
        <v>1096</v>
      </c>
      <c r="B125" s="1725" t="s">
        <v>1250</v>
      </c>
      <c r="C125" s="1723"/>
      <c r="D125" s="1724"/>
    </row>
    <row r="126" spans="1:4" ht="25.5">
      <c r="A126" s="1721" t="s">
        <v>1097</v>
      </c>
      <c r="B126" s="1725" t="s">
        <v>1251</v>
      </c>
      <c r="C126" s="1723"/>
      <c r="D126" s="1724"/>
    </row>
    <row r="127" spans="1:4" ht="25.5">
      <c r="A127" s="1721" t="s">
        <v>1098</v>
      </c>
      <c r="B127" s="1725" t="s">
        <v>1252</v>
      </c>
      <c r="C127" s="1723"/>
      <c r="D127" s="1724">
        <v>25640</v>
      </c>
    </row>
    <row r="128" spans="1:4" ht="25.5">
      <c r="A128" s="1721" t="s">
        <v>1099</v>
      </c>
      <c r="B128" s="1725" t="s">
        <v>1253</v>
      </c>
      <c r="C128" s="1723"/>
      <c r="D128" s="1724">
        <v>142</v>
      </c>
    </row>
    <row r="129" spans="1:4" ht="25.5">
      <c r="A129" s="1721" t="s">
        <v>1100</v>
      </c>
      <c r="B129" s="1725" t="s">
        <v>1254</v>
      </c>
      <c r="C129" s="1723"/>
      <c r="D129" s="1724">
        <v>23</v>
      </c>
    </row>
    <row r="130" spans="1:4" ht="38.25">
      <c r="A130" s="1721" t="s">
        <v>1101</v>
      </c>
      <c r="B130" s="1725" t="s">
        <v>1255</v>
      </c>
      <c r="C130" s="1723"/>
      <c r="D130" s="1724"/>
    </row>
    <row r="131" spans="1:4" ht="25.5">
      <c r="A131" s="1721" t="s">
        <v>1102</v>
      </c>
      <c r="B131" s="1725" t="s">
        <v>1256</v>
      </c>
      <c r="C131" s="1723"/>
      <c r="D131" s="1724"/>
    </row>
    <row r="132" spans="1:4">
      <c r="A132" s="1721" t="s">
        <v>1103</v>
      </c>
      <c r="B132" s="1725" t="s">
        <v>1257</v>
      </c>
      <c r="C132" s="1723"/>
      <c r="D132" s="1724"/>
    </row>
    <row r="133" spans="1:4" ht="25.5">
      <c r="A133" s="1721" t="s">
        <v>1104</v>
      </c>
      <c r="B133" s="1725" t="s">
        <v>1258</v>
      </c>
      <c r="C133" s="1723"/>
      <c r="D133" s="1724"/>
    </row>
    <row r="134" spans="1:4" ht="38.25">
      <c r="A134" s="1721" t="s">
        <v>1105</v>
      </c>
      <c r="B134" s="1725" t="s">
        <v>1259</v>
      </c>
      <c r="C134" s="1723"/>
      <c r="D134" s="1724"/>
    </row>
    <row r="135" spans="1:4" ht="25.5">
      <c r="A135" s="1721" t="s">
        <v>1106</v>
      </c>
      <c r="B135" s="1725" t="s">
        <v>1260</v>
      </c>
      <c r="C135" s="1723"/>
      <c r="D135" s="1724">
        <v>31682</v>
      </c>
    </row>
    <row r="136" spans="1:4" ht="25.5">
      <c r="A136" s="1721" t="s">
        <v>1107</v>
      </c>
      <c r="B136" s="1725" t="s">
        <v>1261</v>
      </c>
      <c r="C136" s="1723"/>
      <c r="D136" s="1724">
        <v>31682</v>
      </c>
    </row>
    <row r="137" spans="1:4" ht="25.5">
      <c r="A137" s="1721" t="s">
        <v>1108</v>
      </c>
      <c r="B137" s="1725" t="s">
        <v>1262</v>
      </c>
      <c r="C137" s="1723"/>
      <c r="D137" s="1724"/>
    </row>
    <row r="138" spans="1:4" ht="25.5">
      <c r="A138" s="1721" t="s">
        <v>1109</v>
      </c>
      <c r="B138" s="1725" t="s">
        <v>1263</v>
      </c>
      <c r="C138" s="1723"/>
      <c r="D138" s="1724"/>
    </row>
    <row r="139" spans="1:4" ht="25.5">
      <c r="A139" s="1721" t="s">
        <v>1110</v>
      </c>
      <c r="B139" s="1725" t="s">
        <v>1264</v>
      </c>
      <c r="C139" s="1723"/>
      <c r="D139" s="1724"/>
    </row>
    <row r="140" spans="1:4" ht="25.5">
      <c r="A140" s="1721" t="s">
        <v>1111</v>
      </c>
      <c r="B140" s="1725" t="s">
        <v>1265</v>
      </c>
      <c r="C140" s="1723"/>
      <c r="D140" s="1724"/>
    </row>
    <row r="141" spans="1:4" ht="25.5">
      <c r="A141" s="1721" t="s">
        <v>1112</v>
      </c>
      <c r="B141" s="1725" t="s">
        <v>1266</v>
      </c>
      <c r="C141" s="1723"/>
      <c r="D141" s="1724"/>
    </row>
    <row r="142" spans="1:4" ht="25.5">
      <c r="A142" s="1721" t="s">
        <v>1113</v>
      </c>
      <c r="B142" s="1725" t="s">
        <v>1267</v>
      </c>
      <c r="C142" s="1723"/>
      <c r="D142" s="1724"/>
    </row>
    <row r="143" spans="1:4" ht="25.5">
      <c r="A143" s="1721" t="s">
        <v>1114</v>
      </c>
      <c r="B143" s="1725" t="s">
        <v>1268</v>
      </c>
      <c r="C143" s="1723"/>
      <c r="D143" s="1724"/>
    </row>
    <row r="144" spans="1:4" ht="25.5">
      <c r="A144" s="1721" t="s">
        <v>1115</v>
      </c>
      <c r="B144" s="1725" t="s">
        <v>1269</v>
      </c>
      <c r="C144" s="1723"/>
      <c r="D144" s="1724">
        <v>57487</v>
      </c>
    </row>
    <row r="145" spans="1:4">
      <c r="A145" s="1721" t="s">
        <v>1116</v>
      </c>
      <c r="B145" s="1725" t="s">
        <v>1270</v>
      </c>
      <c r="C145" s="1723">
        <v>67240</v>
      </c>
      <c r="D145" s="1724"/>
    </row>
    <row r="146" spans="1:4">
      <c r="A146" s="1721" t="s">
        <v>1117</v>
      </c>
      <c r="B146" s="1725" t="s">
        <v>1271</v>
      </c>
      <c r="C146" s="1723"/>
      <c r="D146" s="1724"/>
    </row>
    <row r="147" spans="1:4">
      <c r="A147" s="1721" t="s">
        <v>1118</v>
      </c>
      <c r="B147" s="1725" t="s">
        <v>1272</v>
      </c>
      <c r="C147" s="1723"/>
      <c r="D147" s="1724"/>
    </row>
    <row r="148" spans="1:4">
      <c r="A148" s="1721" t="s">
        <v>1273</v>
      </c>
      <c r="B148" s="1725" t="s">
        <v>1274</v>
      </c>
      <c r="C148" s="1723"/>
      <c r="D148" s="1724"/>
    </row>
    <row r="149" spans="1:4" ht="25.5">
      <c r="A149" s="1721" t="s">
        <v>1275</v>
      </c>
      <c r="B149" s="1725" t="s">
        <v>1276</v>
      </c>
      <c r="C149" s="1723"/>
      <c r="D149" s="1724"/>
    </row>
    <row r="150" spans="1:4" ht="25.5">
      <c r="A150" s="1721" t="s">
        <v>1277</v>
      </c>
      <c r="B150" s="1725" t="s">
        <v>1278</v>
      </c>
      <c r="C150" s="1723"/>
      <c r="D150" s="1724"/>
    </row>
    <row r="151" spans="1:4" ht="25.5">
      <c r="A151" s="1721" t="s">
        <v>1279</v>
      </c>
      <c r="B151" s="1725" t="s">
        <v>1280</v>
      </c>
      <c r="C151" s="1723"/>
      <c r="D151" s="1724"/>
    </row>
    <row r="152" spans="1:4" ht="26.25" thickBot="1">
      <c r="A152" s="1726" t="s">
        <v>1281</v>
      </c>
      <c r="B152" s="1727" t="s">
        <v>1282</v>
      </c>
      <c r="C152" s="1728">
        <v>67240</v>
      </c>
      <c r="D152" s="1729"/>
    </row>
    <row r="153" spans="1:4" ht="15.75" thickBot="1">
      <c r="A153" s="1730" t="s">
        <v>1283</v>
      </c>
      <c r="B153" s="1731" t="s">
        <v>1284</v>
      </c>
      <c r="C153" s="1732">
        <v>529241</v>
      </c>
      <c r="D153" s="1733">
        <v>86612</v>
      </c>
    </row>
    <row r="154" spans="1:4">
      <c r="A154" s="1734" t="s">
        <v>1285</v>
      </c>
      <c r="B154" s="1735" t="s">
        <v>1286</v>
      </c>
      <c r="C154" s="1736">
        <v>3561</v>
      </c>
      <c r="D154" s="1737">
        <v>3471</v>
      </c>
    </row>
    <row r="155" spans="1:4" ht="25.5">
      <c r="A155" s="1721" t="s">
        <v>1287</v>
      </c>
      <c r="B155" s="1725" t="s">
        <v>1288</v>
      </c>
      <c r="C155" s="1723"/>
      <c r="D155" s="1724"/>
    </row>
    <row r="156" spans="1:4">
      <c r="A156" s="1721" t="s">
        <v>1289</v>
      </c>
      <c r="B156" s="1725" t="s">
        <v>1290</v>
      </c>
      <c r="C156" s="1723"/>
      <c r="D156" s="1724"/>
    </row>
    <row r="157" spans="1:4">
      <c r="A157" s="1721" t="s">
        <v>1291</v>
      </c>
      <c r="B157" s="1725" t="s">
        <v>1292</v>
      </c>
      <c r="C157" s="1723"/>
      <c r="D157" s="1724">
        <v>204524</v>
      </c>
    </row>
    <row r="158" spans="1:4" ht="13.5" thickBot="1">
      <c r="A158" s="1726" t="s">
        <v>1293</v>
      </c>
      <c r="B158" s="1727" t="s">
        <v>1294</v>
      </c>
      <c r="C158" s="1728"/>
      <c r="D158" s="1729">
        <v>1922</v>
      </c>
    </row>
    <row r="159" spans="1:4" ht="30.75" thickBot="1">
      <c r="A159" s="1730" t="s">
        <v>1295</v>
      </c>
      <c r="B159" s="1731" t="s">
        <v>1296</v>
      </c>
      <c r="C159" s="1732"/>
      <c r="D159" s="1733">
        <v>206446</v>
      </c>
    </row>
    <row r="160" spans="1:4" ht="15.75" thickBot="1">
      <c r="A160" s="1738" t="s">
        <v>1297</v>
      </c>
      <c r="B160" s="1739" t="s">
        <v>1298</v>
      </c>
      <c r="C160" s="1740">
        <v>17708624</v>
      </c>
      <c r="D160" s="1741">
        <v>17467637</v>
      </c>
    </row>
  </sheetData>
  <mergeCells count="1">
    <mergeCell ref="A2:D2"/>
  </mergeCells>
  <pageMargins left="0.7" right="0.7" top="0.75" bottom="0.75" header="0.3" footer="0.3"/>
  <pageSetup paperSize="9" scale="79" orientation="portrait" r:id="rId1"/>
  <headerFooter>
    <oddHeader>&amp;L&amp;U 22. melléklet a 15/2015. (V.29.) önkormányzati rendelethez*</oddHeader>
    <oddFooter>&amp;L* Áht. 91.§ (2) bekezdés szerint
&amp;CNagykőrös Város Önkormányzat 2014. évi zárszámadási rendelete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AD40"/>
  <sheetViews>
    <sheetView view="pageLayout" topLeftCell="A2" zoomScaleNormal="100" zoomScaleSheetLayoutView="70" workbookViewId="0">
      <selection activeCell="A10" sqref="A10"/>
    </sheetView>
  </sheetViews>
  <sheetFormatPr defaultColWidth="11.7109375" defaultRowHeight="15.75"/>
  <cols>
    <col min="1" max="1" width="52.28515625" style="45" customWidth="1"/>
    <col min="2" max="2" width="15.7109375" style="42" customWidth="1"/>
    <col min="3" max="3" width="17.140625" style="42" hidden="1" customWidth="1"/>
    <col min="4" max="9" width="15.7109375" style="42" hidden="1" customWidth="1"/>
    <col min="10" max="15" width="15.7109375" style="42" customWidth="1"/>
    <col min="16" max="16" width="43.42578125" style="32" customWidth="1"/>
    <col min="17" max="17" width="15.7109375" style="32" customWidth="1"/>
    <col min="18" max="18" width="16.7109375" style="32" hidden="1" customWidth="1"/>
    <col min="19" max="24" width="15.7109375" style="32" hidden="1" customWidth="1"/>
    <col min="25" max="30" width="15.7109375" style="32" customWidth="1"/>
    <col min="31" max="16384" width="11.7109375" style="32"/>
  </cols>
  <sheetData>
    <row r="1" spans="1:30" ht="28.5" hidden="1" customHeight="1">
      <c r="A1" s="1753" t="s">
        <v>198</v>
      </c>
      <c r="B1" s="1753"/>
      <c r="C1" s="1753"/>
      <c r="D1" s="1753"/>
      <c r="E1" s="1753"/>
      <c r="F1" s="1753"/>
      <c r="G1" s="1753"/>
      <c r="H1" s="1753"/>
      <c r="I1" s="1753"/>
      <c r="J1" s="1753"/>
      <c r="K1" s="1753"/>
      <c r="L1" s="1753"/>
      <c r="M1" s="1753"/>
      <c r="N1" s="1753"/>
      <c r="O1" s="1753"/>
      <c r="P1" s="1753"/>
      <c r="Q1" s="1753"/>
      <c r="R1" s="1753"/>
      <c r="S1" s="1753"/>
      <c r="T1" s="1753"/>
      <c r="U1" s="1753"/>
      <c r="V1" s="1753"/>
      <c r="W1" s="1753"/>
      <c r="X1" s="1753"/>
      <c r="Y1" s="1753"/>
      <c r="Z1" s="1753"/>
      <c r="AA1" s="1753"/>
      <c r="AB1" s="1753"/>
      <c r="AC1" s="1753"/>
      <c r="AD1" s="48"/>
    </row>
    <row r="2" spans="1:30" ht="16.5" customHeight="1">
      <c r="A2" s="580"/>
      <c r="B2" s="580"/>
      <c r="C2" s="580"/>
      <c r="D2" s="580"/>
      <c r="E2" s="1126"/>
      <c r="F2" s="1126"/>
      <c r="G2" s="1334"/>
      <c r="H2" s="1334"/>
      <c r="I2" s="1359"/>
      <c r="J2" s="1359"/>
      <c r="K2" s="1388"/>
      <c r="L2" s="1388"/>
      <c r="M2" s="580"/>
      <c r="N2" s="580"/>
      <c r="O2" s="580"/>
      <c r="P2" s="580"/>
      <c r="Q2" s="580"/>
      <c r="R2" s="580"/>
      <c r="S2" s="580"/>
      <c r="T2" s="1126"/>
      <c r="U2" s="1126"/>
      <c r="V2" s="1334"/>
      <c r="W2" s="1334"/>
      <c r="X2" s="1359"/>
      <c r="Y2" s="1359"/>
      <c r="Z2" s="1388"/>
      <c r="AA2" s="1388"/>
      <c r="AB2" s="580"/>
      <c r="AC2" s="580"/>
      <c r="AD2" s="580"/>
    </row>
    <row r="3" spans="1:30" ht="23.25">
      <c r="A3" s="1754" t="s">
        <v>801</v>
      </c>
      <c r="B3" s="1755"/>
      <c r="C3" s="1755"/>
      <c r="D3" s="1755"/>
      <c r="E3" s="1755"/>
      <c r="F3" s="1755"/>
      <c r="G3" s="1755"/>
      <c r="H3" s="1755"/>
      <c r="I3" s="1755"/>
      <c r="J3" s="1755"/>
      <c r="K3" s="1755"/>
      <c r="L3" s="1755"/>
      <c r="M3" s="1755"/>
      <c r="N3" s="1755"/>
      <c r="O3" s="1755"/>
      <c r="P3" s="1755"/>
      <c r="Q3" s="1755"/>
      <c r="R3" s="1755"/>
      <c r="S3" s="1755"/>
      <c r="T3" s="1755"/>
      <c r="U3" s="1755"/>
      <c r="V3" s="1755"/>
      <c r="W3" s="1755"/>
      <c r="X3" s="1755"/>
      <c r="Y3" s="1755"/>
      <c r="Z3" s="1755"/>
      <c r="AA3" s="1755"/>
      <c r="AB3" s="1755"/>
      <c r="AC3" s="1755"/>
      <c r="AD3" s="1755"/>
    </row>
    <row r="4" spans="1:30" ht="20.45" customHeight="1" thickBot="1">
      <c r="A4" s="48"/>
      <c r="B4" s="48"/>
      <c r="C4" s="580"/>
      <c r="D4" s="580"/>
      <c r="E4" s="1126"/>
      <c r="F4" s="1126"/>
      <c r="G4" s="1334"/>
      <c r="H4" s="1334"/>
      <c r="I4" s="1359"/>
      <c r="J4" s="1359"/>
      <c r="K4" s="1388"/>
      <c r="L4" s="1388"/>
      <c r="M4" s="48"/>
      <c r="N4" s="48"/>
      <c r="O4" s="48"/>
      <c r="P4" s="48"/>
      <c r="Q4" s="48"/>
      <c r="R4" s="580"/>
      <c r="S4" s="580"/>
      <c r="T4" s="1126"/>
      <c r="U4" s="1126"/>
      <c r="V4" s="1334"/>
      <c r="W4" s="1334"/>
      <c r="X4" s="1359"/>
      <c r="Y4" s="1359"/>
      <c r="Z4" s="1388"/>
      <c r="AA4" s="1388"/>
      <c r="AB4" s="48"/>
      <c r="AC4" s="48"/>
      <c r="AD4" s="48"/>
    </row>
    <row r="5" spans="1:30" ht="65.25" customHeight="1">
      <c r="A5" s="479" t="s">
        <v>43</v>
      </c>
      <c r="B5" s="480" t="s">
        <v>814</v>
      </c>
      <c r="C5" s="480" t="s">
        <v>815</v>
      </c>
      <c r="D5" s="480" t="s">
        <v>865</v>
      </c>
      <c r="E5" s="480" t="s">
        <v>863</v>
      </c>
      <c r="F5" s="480" t="s">
        <v>912</v>
      </c>
      <c r="G5" s="480" t="s">
        <v>863</v>
      </c>
      <c r="H5" s="480" t="s">
        <v>912</v>
      </c>
      <c r="I5" s="480" t="s">
        <v>863</v>
      </c>
      <c r="J5" s="480" t="s">
        <v>953</v>
      </c>
      <c r="K5" s="480" t="s">
        <v>954</v>
      </c>
      <c r="L5" s="480" t="s">
        <v>955</v>
      </c>
      <c r="M5" s="481" t="s">
        <v>305</v>
      </c>
      <c r="N5" s="481" t="s">
        <v>306</v>
      </c>
      <c r="O5" s="482" t="s">
        <v>302</v>
      </c>
      <c r="P5" s="481" t="s">
        <v>44</v>
      </c>
      <c r="Q5" s="480" t="s">
        <v>814</v>
      </c>
      <c r="R5" s="480" t="s">
        <v>815</v>
      </c>
      <c r="S5" s="480" t="s">
        <v>865</v>
      </c>
      <c r="T5" s="480" t="s">
        <v>863</v>
      </c>
      <c r="U5" s="480" t="s">
        <v>912</v>
      </c>
      <c r="V5" s="480" t="s">
        <v>863</v>
      </c>
      <c r="W5" s="480" t="s">
        <v>912</v>
      </c>
      <c r="X5" s="480" t="s">
        <v>863</v>
      </c>
      <c r="Y5" s="1409" t="s">
        <v>820</v>
      </c>
      <c r="Z5" s="1409" t="s">
        <v>956</v>
      </c>
      <c r="AA5" s="1409" t="s">
        <v>957</v>
      </c>
      <c r="AB5" s="481" t="s">
        <v>816</v>
      </c>
      <c r="AC5" s="481" t="s">
        <v>306</v>
      </c>
      <c r="AD5" s="483" t="s">
        <v>302</v>
      </c>
    </row>
    <row r="6" spans="1:30" s="33" customFormat="1" ht="47.1" customHeight="1">
      <c r="A6" s="1669" t="s">
        <v>45</v>
      </c>
      <c r="B6" s="1665">
        <f t="shared" ref="B6:O6" si="0">SUM(B7:B11)</f>
        <v>2678166</v>
      </c>
      <c r="C6" s="1665">
        <f t="shared" si="0"/>
        <v>89714</v>
      </c>
      <c r="D6" s="1665">
        <f t="shared" si="0"/>
        <v>2856272</v>
      </c>
      <c r="E6" s="1665">
        <f t="shared" si="0"/>
        <v>270585</v>
      </c>
      <c r="F6" s="1665">
        <f t="shared" si="0"/>
        <v>3126857</v>
      </c>
      <c r="G6" s="1665">
        <f t="shared" si="0"/>
        <v>53090</v>
      </c>
      <c r="H6" s="1665">
        <f t="shared" si="0"/>
        <v>3179947</v>
      </c>
      <c r="I6" s="1665">
        <f>SUM(I7:I11)</f>
        <v>264449</v>
      </c>
      <c r="J6" s="1665">
        <f t="shared" si="0"/>
        <v>3444396</v>
      </c>
      <c r="K6" s="1665">
        <f>SUM(K7:K11)</f>
        <v>3104044</v>
      </c>
      <c r="L6" s="1410">
        <f>K6/J6</f>
        <v>0.90118673927155879</v>
      </c>
      <c r="M6" s="584">
        <f t="shared" si="0"/>
        <v>2116205</v>
      </c>
      <c r="N6" s="584">
        <f t="shared" si="0"/>
        <v>1328191</v>
      </c>
      <c r="O6" s="584">
        <f t="shared" si="0"/>
        <v>0</v>
      </c>
      <c r="P6" s="462" t="s">
        <v>46</v>
      </c>
      <c r="Q6" s="584">
        <f t="shared" ref="Q6:AD6" si="1">SUM(Q7:Q11)</f>
        <v>2695283</v>
      </c>
      <c r="R6" s="584" t="e">
        <f t="shared" si="1"/>
        <v>#REF!</v>
      </c>
      <c r="S6" s="584" t="e">
        <f t="shared" si="1"/>
        <v>#REF!</v>
      </c>
      <c r="T6" s="584" t="e">
        <f t="shared" si="1"/>
        <v>#REF!</v>
      </c>
      <c r="U6" s="584">
        <f t="shared" si="1"/>
        <v>2981753</v>
      </c>
      <c r="V6" s="584" t="e">
        <f t="shared" si="1"/>
        <v>#REF!</v>
      </c>
      <c r="W6" s="584">
        <f t="shared" si="1"/>
        <v>3023573</v>
      </c>
      <c r="X6" s="584" t="e">
        <f t="shared" si="1"/>
        <v>#REF!</v>
      </c>
      <c r="Y6" s="584">
        <f>SUM(Y7:Y11)</f>
        <v>3357568</v>
      </c>
      <c r="Z6" s="584">
        <f t="shared" si="1"/>
        <v>2602982</v>
      </c>
      <c r="AA6" s="1517">
        <f>Z6/Y6</f>
        <v>0.77525816305135142</v>
      </c>
      <c r="AB6" s="584">
        <f t="shared" si="1"/>
        <v>3005687.5</v>
      </c>
      <c r="AC6" s="584">
        <f t="shared" si="1"/>
        <v>351880.5</v>
      </c>
      <c r="AD6" s="822">
        <f t="shared" si="1"/>
        <v>0</v>
      </c>
    </row>
    <row r="7" spans="1:30" s="33" customFormat="1" ht="42" customHeight="1">
      <c r="A7" s="463" t="s">
        <v>826</v>
      </c>
      <c r="B7" s="1666">
        <f>'4'!C160+'5'!C3+'6'!C3</f>
        <v>1299158</v>
      </c>
      <c r="C7" s="1666">
        <f>'4'!D160+'5'!D3+'6'!D3</f>
        <v>71487</v>
      </c>
      <c r="D7" s="1666">
        <v>1442015</v>
      </c>
      <c r="E7" s="1666">
        <v>198309</v>
      </c>
      <c r="F7" s="1666">
        <f>SUM(D7:E7)</f>
        <v>1640324</v>
      </c>
      <c r="G7" s="1666">
        <f>'4'!J160+'5'!H3+'6'!J3</f>
        <v>27746</v>
      </c>
      <c r="H7" s="1666">
        <f>SUM(F7:G7)</f>
        <v>1668070</v>
      </c>
      <c r="I7" s="1666">
        <f>'4'!L160+'5'!J3+'6'!L3</f>
        <v>-14983</v>
      </c>
      <c r="J7" s="1666">
        <f>SUM(H7:I7)</f>
        <v>1653087</v>
      </c>
      <c r="K7" s="1666">
        <v>1631384</v>
      </c>
      <c r="L7" s="1421">
        <f t="shared" ref="L7:L23" si="2">K7/J7</f>
        <v>0.98687122940292915</v>
      </c>
      <c r="M7" s="811">
        <f>J7-N7</f>
        <v>1570666</v>
      </c>
      <c r="N7" s="811">
        <f>'4'!Q160+'5'!O3+'6'!Q3</f>
        <v>82421</v>
      </c>
      <c r="O7" s="812">
        <f>'4'!R177+'5'!P3+'6'!R3</f>
        <v>0</v>
      </c>
      <c r="P7" s="464" t="s">
        <v>40</v>
      </c>
      <c r="Q7" s="823">
        <f>'7'!C173+'8'!C185+'9'!C82</f>
        <v>893102</v>
      </c>
      <c r="R7" s="823">
        <f>'7'!D173+'8'!D185+'9'!D82</f>
        <v>89653</v>
      </c>
      <c r="S7" s="823">
        <f>'7'!G173+'8'!E185+'9'!E82</f>
        <v>1027468</v>
      </c>
      <c r="T7" s="823">
        <f>'7'!H173+'8'!F185+'9'!F82</f>
        <v>42511</v>
      </c>
      <c r="U7" s="823">
        <f>SUM(S7:T7)</f>
        <v>1069979</v>
      </c>
      <c r="V7" s="823">
        <f>'7'!J173+'8'!H185+'9'!H82</f>
        <v>13013</v>
      </c>
      <c r="W7" s="823">
        <f>SUM(U7:V7)</f>
        <v>1082992</v>
      </c>
      <c r="X7" s="823">
        <f>'7'!L173+'8'!J185+'9'!J82</f>
        <v>20783</v>
      </c>
      <c r="Y7" s="823">
        <v>1103355</v>
      </c>
      <c r="Z7" s="1323">
        <v>1038838</v>
      </c>
      <c r="AA7" s="1518">
        <f>Z7/Y7</f>
        <v>0.94152652591414365</v>
      </c>
      <c r="AB7" s="823">
        <f>Y7-AC7</f>
        <v>1020061</v>
      </c>
      <c r="AC7" s="823">
        <f>'7'!Q173+'8'!O185+'9'!O82</f>
        <v>83294</v>
      </c>
      <c r="AD7" s="824">
        <f>'7'!R173+'8'!P185+'9'!P82</f>
        <v>0</v>
      </c>
    </row>
    <row r="8" spans="1:30" s="33" customFormat="1" ht="36.950000000000003" customHeight="1">
      <c r="A8" s="463" t="s">
        <v>376</v>
      </c>
      <c r="B8" s="1666">
        <f>'4'!C178+'5'!C83+'6'!C5</f>
        <v>866650</v>
      </c>
      <c r="C8" s="1666">
        <f>'4'!D161+'5'!D83+'6'!D5</f>
        <v>800</v>
      </c>
      <c r="D8" s="1666">
        <v>867350</v>
      </c>
      <c r="E8" s="1666">
        <v>32000</v>
      </c>
      <c r="F8" s="1666">
        <f t="shared" ref="F8:J10" si="3">SUM(D8:E8)</f>
        <v>899350</v>
      </c>
      <c r="G8" s="1666">
        <f>'5'!H83</f>
        <v>5500</v>
      </c>
      <c r="H8" s="1666">
        <f t="shared" si="3"/>
        <v>904850</v>
      </c>
      <c r="I8" s="1666">
        <f>'4'!L162+'5'!J83+'6'!L5</f>
        <v>258257</v>
      </c>
      <c r="J8" s="1666">
        <f t="shared" si="3"/>
        <v>1163107</v>
      </c>
      <c r="K8" s="1666">
        <v>1019127</v>
      </c>
      <c r="L8" s="1421">
        <f t="shared" si="2"/>
        <v>0.87621087311829438</v>
      </c>
      <c r="M8" s="811">
        <f t="shared" ref="M8:M10" si="4">J8-N8</f>
        <v>82358</v>
      </c>
      <c r="N8" s="811">
        <f>'5'!O83</f>
        <v>1080749</v>
      </c>
      <c r="O8" s="812">
        <f>'4'!R178+'5'!P83+'6'!R5</f>
        <v>0</v>
      </c>
      <c r="P8" s="464" t="s">
        <v>303</v>
      </c>
      <c r="Q8" s="823">
        <f>'7'!C174+'8'!C186+'9'!C83</f>
        <v>256331</v>
      </c>
      <c r="R8" s="823">
        <f>'7'!D174+'8'!D186+'9'!D83</f>
        <v>20208</v>
      </c>
      <c r="S8" s="823">
        <f>'7'!G174+'8'!E186+'9'!E83</f>
        <v>284682</v>
      </c>
      <c r="T8" s="823">
        <f>'7'!H174+'8'!F186+'9'!F83</f>
        <v>3910</v>
      </c>
      <c r="U8" s="823">
        <f t="shared" ref="U8:W10" si="5">SUM(S8:T8)</f>
        <v>288592</v>
      </c>
      <c r="V8" s="823">
        <f>'7'!J174+'8'!H186+'9'!H83</f>
        <v>1454</v>
      </c>
      <c r="W8" s="823">
        <f t="shared" si="5"/>
        <v>290046</v>
      </c>
      <c r="X8" s="823">
        <f>'7'!L174+'8'!J186+'9'!J83</f>
        <v>2067</v>
      </c>
      <c r="Y8" s="823">
        <v>292515</v>
      </c>
      <c r="Z8" s="1323">
        <v>274824</v>
      </c>
      <c r="AA8" s="1518">
        <f t="shared" ref="AA8:AA15" si="6">Z8/Y8</f>
        <v>0.93952105020255372</v>
      </c>
      <c r="AB8" s="823">
        <f t="shared" ref="AB8:AB11" si="7">Y8-AC8</f>
        <v>268612</v>
      </c>
      <c r="AC8" s="823">
        <f>'7'!Q174+'8'!O186+'9'!O83</f>
        <v>23903</v>
      </c>
      <c r="AD8" s="824">
        <f>'7'!R174+'8'!P186+'9'!P83</f>
        <v>0</v>
      </c>
    </row>
    <row r="9" spans="1:30" s="33" customFormat="1" ht="36.950000000000003" customHeight="1">
      <c r="A9" s="463" t="s">
        <v>47</v>
      </c>
      <c r="B9" s="1666">
        <f>'4'!C163+'5'!C97+'6'!C10</f>
        <v>511758</v>
      </c>
      <c r="C9" s="1666">
        <f>'4'!D163+'5'!D97+'6'!D10</f>
        <v>11507</v>
      </c>
      <c r="D9" s="1666">
        <v>545527</v>
      </c>
      <c r="E9" s="1666">
        <v>32780</v>
      </c>
      <c r="F9" s="1666">
        <f t="shared" si="3"/>
        <v>578307</v>
      </c>
      <c r="G9" s="1666">
        <f>'4'!J163+'5'!H97+'6'!J10</f>
        <v>19844</v>
      </c>
      <c r="H9" s="1666">
        <f t="shared" si="3"/>
        <v>598151</v>
      </c>
      <c r="I9" s="1666">
        <f>'4'!L163+'5'!J97+'6'!L10</f>
        <v>27966</v>
      </c>
      <c r="J9" s="1666">
        <f t="shared" si="3"/>
        <v>626117</v>
      </c>
      <c r="K9" s="1666">
        <v>449286</v>
      </c>
      <c r="L9" s="1421">
        <f t="shared" si="2"/>
        <v>0.7175751496924696</v>
      </c>
      <c r="M9" s="811">
        <f t="shared" si="4"/>
        <v>462531</v>
      </c>
      <c r="N9" s="811">
        <f>'4'!Q163+'5'!O97+'6'!Q10</f>
        <v>163586</v>
      </c>
      <c r="O9" s="812">
        <f>'4'!R163+'5'!P97+'6'!R10</f>
        <v>0</v>
      </c>
      <c r="P9" s="464" t="s">
        <v>132</v>
      </c>
      <c r="Q9" s="823">
        <f>'7'!C175+'8'!C187+'9'!C84</f>
        <v>880050</v>
      </c>
      <c r="R9" s="823">
        <f>'7'!D175+'8'!D187+'9'!D84</f>
        <v>60669</v>
      </c>
      <c r="S9" s="823">
        <f>'7'!G175+'8'!E187+'9'!E84</f>
        <v>986370</v>
      </c>
      <c r="T9" s="823">
        <f>'7'!H175+'8'!F187+'9'!F84</f>
        <v>43263</v>
      </c>
      <c r="U9" s="823">
        <f t="shared" si="5"/>
        <v>1029633</v>
      </c>
      <c r="V9" s="823">
        <f>'7'!J175+'8'!H187+'9'!H84+5000</f>
        <v>43081</v>
      </c>
      <c r="W9" s="823">
        <f t="shared" si="5"/>
        <v>1072714</v>
      </c>
      <c r="X9" s="823">
        <f>'7'!L175+'8'!J187+'9'!J84</f>
        <v>84406</v>
      </c>
      <c r="Y9" s="823">
        <v>1152243</v>
      </c>
      <c r="Z9" s="823">
        <f>'7'!N175+'8'!L187+'9'!L84</f>
        <v>966404</v>
      </c>
      <c r="AA9" s="1518">
        <f t="shared" si="6"/>
        <v>0.83871544457202174</v>
      </c>
      <c r="AB9" s="823">
        <f t="shared" si="7"/>
        <v>1032730.5</v>
      </c>
      <c r="AC9" s="823">
        <f>'7'!Q175+'8'!O187+'9'!O84</f>
        <v>119512.5</v>
      </c>
      <c r="AD9" s="824">
        <f>'7'!R175+'8'!P187+'9'!P84</f>
        <v>0</v>
      </c>
    </row>
    <row r="10" spans="1:30" s="33" customFormat="1" ht="36.950000000000003" customHeight="1">
      <c r="A10" s="463" t="s">
        <v>378</v>
      </c>
      <c r="B10" s="1666">
        <f>'4'!C165+'5'!C139+'6'!C22</f>
        <v>600</v>
      </c>
      <c r="C10" s="1666">
        <f>'4'!D165+'5'!D139+'6'!D22</f>
        <v>5920</v>
      </c>
      <c r="D10" s="1666">
        <v>1380</v>
      </c>
      <c r="E10" s="1666">
        <v>7496</v>
      </c>
      <c r="F10" s="1666">
        <f t="shared" si="3"/>
        <v>8876</v>
      </c>
      <c r="G10" s="1666">
        <f>'4'!J165+'5'!H132+'6'!J22</f>
        <v>0</v>
      </c>
      <c r="H10" s="1666">
        <f t="shared" si="3"/>
        <v>8876</v>
      </c>
      <c r="I10" s="1666">
        <f>'4'!L165+'5'!J139+'6'!L22</f>
        <v>-6791</v>
      </c>
      <c r="J10" s="1666">
        <f t="shared" si="3"/>
        <v>2085</v>
      </c>
      <c r="K10" s="1666">
        <v>4247</v>
      </c>
      <c r="L10" s="1421">
        <f t="shared" si="2"/>
        <v>2.0369304556354915</v>
      </c>
      <c r="M10" s="811">
        <f t="shared" si="4"/>
        <v>650</v>
      </c>
      <c r="N10" s="811">
        <f>'4'!Q165+'5'!O139+'6'!Q22</f>
        <v>1435</v>
      </c>
      <c r="O10" s="812">
        <f>'4'!R165+'5'!P139+'6'!R22</f>
        <v>0</v>
      </c>
      <c r="P10" s="464" t="s">
        <v>42</v>
      </c>
      <c r="Q10" s="823">
        <f>'7'!C176+'8'!C188+'9'!C85</f>
        <v>433600</v>
      </c>
      <c r="R10" s="823">
        <f>'7'!D176+'8'!D188+'9'!D85</f>
        <v>0</v>
      </c>
      <c r="S10" s="823">
        <f>'7'!G176+'8'!E188+'9'!E85</f>
        <v>433700</v>
      </c>
      <c r="T10" s="823">
        <f>'7'!H176+'8'!F188+'9'!F85</f>
        <v>8093</v>
      </c>
      <c r="U10" s="823">
        <f t="shared" si="5"/>
        <v>441793</v>
      </c>
      <c r="V10" s="823">
        <f>'8'!H188</f>
        <v>12383</v>
      </c>
      <c r="W10" s="823">
        <f t="shared" si="5"/>
        <v>454176</v>
      </c>
      <c r="X10" s="823">
        <f>'7'!L176+'8'!J188+'9'!J85</f>
        <v>-20000</v>
      </c>
      <c r="Y10" s="823">
        <v>439176</v>
      </c>
      <c r="Z10" s="823">
        <f>'7'!N176+'8'!L188+'9'!L85</f>
        <v>279698</v>
      </c>
      <c r="AA10" s="1518">
        <f t="shared" si="6"/>
        <v>0.6368699564639233</v>
      </c>
      <c r="AB10" s="823">
        <f t="shared" si="7"/>
        <v>366988</v>
      </c>
      <c r="AC10" s="823">
        <f>'7'!Q176+'8'!O188+'9'!O85</f>
        <v>72188</v>
      </c>
      <c r="AD10" s="824">
        <f>'7'!R176+'8'!P188+'9'!P85</f>
        <v>0</v>
      </c>
    </row>
    <row r="11" spans="1:30" s="35" customFormat="1" ht="36.950000000000003" customHeight="1">
      <c r="A11" s="465"/>
      <c r="B11" s="1666" t="s">
        <v>98</v>
      </c>
      <c r="C11" s="1666"/>
      <c r="D11" s="1666"/>
      <c r="E11" s="1666"/>
      <c r="F11" s="1666"/>
      <c r="G11" s="1666"/>
      <c r="H11" s="1666"/>
      <c r="I11" s="1666"/>
      <c r="J11" s="1666"/>
      <c r="K11" s="811"/>
      <c r="L11" s="1421"/>
      <c r="M11" s="811">
        <v>0</v>
      </c>
      <c r="N11" s="811">
        <v>0</v>
      </c>
      <c r="O11" s="812" t="s">
        <v>98</v>
      </c>
      <c r="P11" s="464" t="s">
        <v>361</v>
      </c>
      <c r="Q11" s="823">
        <f>'7'!C177+'8'!C189+'9'!C86</f>
        <v>232200</v>
      </c>
      <c r="R11" s="823" t="e">
        <f>'7'!D177+'8'!D189+'9'!D86</f>
        <v>#REF!</v>
      </c>
      <c r="S11" s="823" t="e">
        <f>'7'!G177+'8'!E189+'9'!E86</f>
        <v>#REF!</v>
      </c>
      <c r="T11" s="823" t="e">
        <f>'7'!H177+'8'!F189+'9'!F86</f>
        <v>#REF!</v>
      </c>
      <c r="U11" s="823">
        <v>151756</v>
      </c>
      <c r="V11" s="823" t="e">
        <f>'7'!J177+'8'!H189+'9'!H86</f>
        <v>#REF!</v>
      </c>
      <c r="W11" s="823">
        <v>123645</v>
      </c>
      <c r="X11" s="823" t="e">
        <f>'7'!L177+'8'!J189+'9'!J86</f>
        <v>#REF!</v>
      </c>
      <c r="Y11" s="823">
        <v>370279</v>
      </c>
      <c r="Z11" s="823">
        <f>'7'!N177+'8'!L189+'9'!L86</f>
        <v>43218</v>
      </c>
      <c r="AA11" s="1518">
        <f t="shared" si="6"/>
        <v>0.11671739418114449</v>
      </c>
      <c r="AB11" s="823">
        <f t="shared" si="7"/>
        <v>317296</v>
      </c>
      <c r="AC11" s="823">
        <f>'7'!Q177+'8'!O189+'9'!O86</f>
        <v>52983</v>
      </c>
      <c r="AD11" s="824">
        <f>'7'!R177+'8'!P189+'9'!P86</f>
        <v>0</v>
      </c>
    </row>
    <row r="12" spans="1:30" s="33" customFormat="1" ht="47.1" customHeight="1">
      <c r="A12" s="466" t="s">
        <v>52</v>
      </c>
      <c r="B12" s="815">
        <f t="shared" ref="B12:O12" si="8">SUM(B13:B15)</f>
        <v>454456</v>
      </c>
      <c r="C12" s="815">
        <f t="shared" si="8"/>
        <v>461221</v>
      </c>
      <c r="D12" s="815">
        <f t="shared" si="8"/>
        <v>1025022</v>
      </c>
      <c r="E12" s="815">
        <f t="shared" si="8"/>
        <v>-146648</v>
      </c>
      <c r="F12" s="815">
        <f t="shared" si="8"/>
        <v>878374</v>
      </c>
      <c r="G12" s="815">
        <f t="shared" si="8"/>
        <v>0</v>
      </c>
      <c r="H12" s="815">
        <f t="shared" si="8"/>
        <v>878374</v>
      </c>
      <c r="I12" s="815">
        <f>SUM(I13:I15)</f>
        <v>10268</v>
      </c>
      <c r="J12" s="815">
        <f t="shared" si="8"/>
        <v>888642</v>
      </c>
      <c r="K12" s="813">
        <f t="shared" si="8"/>
        <v>479933</v>
      </c>
      <c r="L12" s="1410">
        <f t="shared" si="2"/>
        <v>0.54007463072868489</v>
      </c>
      <c r="M12" s="813">
        <f t="shared" si="8"/>
        <v>820745</v>
      </c>
      <c r="N12" s="813">
        <f t="shared" si="8"/>
        <v>67897</v>
      </c>
      <c r="O12" s="584">
        <f t="shared" si="8"/>
        <v>0</v>
      </c>
      <c r="P12" s="467" t="s">
        <v>53</v>
      </c>
      <c r="Q12" s="584">
        <f t="shared" ref="Q12:AD12" si="9">SUM(Q13:Q15)</f>
        <v>1853884</v>
      </c>
      <c r="R12" s="584">
        <f t="shared" si="9"/>
        <v>203698</v>
      </c>
      <c r="S12" s="584">
        <f t="shared" si="9"/>
        <v>2087312</v>
      </c>
      <c r="T12" s="584">
        <f t="shared" si="9"/>
        <v>12223</v>
      </c>
      <c r="U12" s="584">
        <f t="shared" si="9"/>
        <v>2099535</v>
      </c>
      <c r="V12" s="584">
        <f t="shared" si="9"/>
        <v>11270</v>
      </c>
      <c r="W12" s="584">
        <f t="shared" si="9"/>
        <v>2110805</v>
      </c>
      <c r="X12" s="584">
        <f t="shared" si="9"/>
        <v>-59173</v>
      </c>
      <c r="Y12" s="584">
        <f t="shared" si="9"/>
        <v>2051527</v>
      </c>
      <c r="Z12" s="584">
        <f t="shared" si="9"/>
        <v>525148</v>
      </c>
      <c r="AA12" s="1517">
        <f>Z12/Y12</f>
        <v>0.25597908289776344</v>
      </c>
      <c r="AB12" s="584">
        <f t="shared" si="9"/>
        <v>1955950.75</v>
      </c>
      <c r="AC12" s="584">
        <f t="shared" si="9"/>
        <v>95576.25</v>
      </c>
      <c r="AD12" s="822">
        <f t="shared" si="9"/>
        <v>0</v>
      </c>
    </row>
    <row r="13" spans="1:30" s="33" customFormat="1" ht="39" customHeight="1">
      <c r="A13" s="463" t="s">
        <v>827</v>
      </c>
      <c r="B13" s="1666">
        <v>417106</v>
      </c>
      <c r="C13" s="1666">
        <f>'4'!D177+'5'!D68+'6'!D4</f>
        <v>461054</v>
      </c>
      <c r="D13" s="1666">
        <v>982990</v>
      </c>
      <c r="E13" s="1666">
        <v>-146848</v>
      </c>
      <c r="F13" s="1666">
        <f t="shared" ref="F13:J15" si="10">SUM(D13:E13)</f>
        <v>836142</v>
      </c>
      <c r="G13" s="1666">
        <f>'4'!J161+'5'!H63+'6'!J4</f>
        <v>0</v>
      </c>
      <c r="H13" s="1666">
        <f t="shared" si="10"/>
        <v>836142</v>
      </c>
      <c r="I13" s="1666">
        <f>'4'!L161+'5'!J69+'6'!L4</f>
        <v>2731</v>
      </c>
      <c r="J13" s="1666">
        <f t="shared" si="10"/>
        <v>838873</v>
      </c>
      <c r="K13" s="1666">
        <v>458605</v>
      </c>
      <c r="L13" s="1421">
        <f t="shared" si="2"/>
        <v>0.54669181151378099</v>
      </c>
      <c r="M13" s="811">
        <f>J13-N13</f>
        <v>813665</v>
      </c>
      <c r="N13" s="811">
        <f>'4'!Q161+'5'!O69+'6'!Q4</f>
        <v>25208</v>
      </c>
      <c r="O13" s="812">
        <f>'4'!R177+'5'!P68+'6'!R4</f>
        <v>0</v>
      </c>
      <c r="P13" s="464" t="s">
        <v>363</v>
      </c>
      <c r="Q13" s="823">
        <f>'7'!C179+'9'!C88+'8'!C191</f>
        <v>1733104</v>
      </c>
      <c r="R13" s="823">
        <f>'7'!D179+'9'!D88+'8'!D191</f>
        <v>133383</v>
      </c>
      <c r="S13" s="823">
        <f>'7'!G179+'9'!E88+'8'!E191</f>
        <v>1895163</v>
      </c>
      <c r="T13" s="823">
        <f>'7'!H179+'9'!F88+'8'!F191</f>
        <v>12349</v>
      </c>
      <c r="U13" s="823">
        <f t="shared" ref="U13:Y15" si="11">SUM(S13:T13)</f>
        <v>1907512</v>
      </c>
      <c r="V13" s="823">
        <f>'7'!J179+'9'!H88+'8'!H191</f>
        <v>14370</v>
      </c>
      <c r="W13" s="823">
        <f t="shared" si="11"/>
        <v>1921882</v>
      </c>
      <c r="X13" s="823">
        <f>'7'!L179+'9'!J88+'8'!J191</f>
        <v>-56965</v>
      </c>
      <c r="Y13" s="823">
        <v>1864812</v>
      </c>
      <c r="Z13" s="823">
        <f>'7'!N179+'9'!L88+'8'!L191</f>
        <v>445368</v>
      </c>
      <c r="AA13" s="1518">
        <f t="shared" si="6"/>
        <v>0.23882729197366812</v>
      </c>
      <c r="AB13" s="823">
        <f>Y13-AC13</f>
        <v>1793186</v>
      </c>
      <c r="AC13" s="823">
        <f>'7'!Q179+'9'!O88+'8'!O191</f>
        <v>71626</v>
      </c>
      <c r="AD13" s="824">
        <f>'7'!R179+'9'!P88+'8'!P191</f>
        <v>0</v>
      </c>
    </row>
    <row r="14" spans="1:30" s="33" customFormat="1" ht="36.950000000000003" customHeight="1">
      <c r="A14" s="463" t="s">
        <v>377</v>
      </c>
      <c r="B14" s="1666">
        <f>+'4'!C180+'5'!C128+'6'!C21</f>
        <v>0</v>
      </c>
      <c r="C14" s="1666">
        <f>+'4'!D180+'5'!D128+'6'!D21</f>
        <v>167</v>
      </c>
      <c r="D14" s="1666">
        <f>+'4'!G180+'5'!E128+'6'!E21</f>
        <v>4167</v>
      </c>
      <c r="E14" s="1666">
        <f>+'4'!H180+'5'!F128+'6'!F21</f>
        <v>0</v>
      </c>
      <c r="F14" s="1666">
        <f t="shared" si="10"/>
        <v>4167</v>
      </c>
      <c r="G14" s="1666">
        <f>'4'!J180+'5'!H121+'6'!J21</f>
        <v>0</v>
      </c>
      <c r="H14" s="1666">
        <f t="shared" si="10"/>
        <v>4167</v>
      </c>
      <c r="I14" s="1666">
        <f>'4'!L164+'5'!J128+'6'!L21</f>
        <v>6913</v>
      </c>
      <c r="J14" s="1666">
        <f t="shared" si="10"/>
        <v>11080</v>
      </c>
      <c r="K14" s="1666">
        <v>11095</v>
      </c>
      <c r="L14" s="1421">
        <f t="shared" si="2"/>
        <v>1.0013537906137184</v>
      </c>
      <c r="M14" s="811">
        <f t="shared" ref="M14:M15" si="12">J14-N14</f>
        <v>7080</v>
      </c>
      <c r="N14" s="811">
        <f>'4'!Q164+'6'!Q21+'5'!O128</f>
        <v>4000</v>
      </c>
      <c r="O14" s="812">
        <f>+'4'!R180+'5'!P128+'6'!R21</f>
        <v>0</v>
      </c>
      <c r="P14" s="464" t="s">
        <v>54</v>
      </c>
      <c r="Q14" s="823">
        <f>'7'!C180+'9'!C89+'8'!C192</f>
        <v>93480</v>
      </c>
      <c r="R14" s="823">
        <f>'7'!D180+'9'!D89+'8'!D192</f>
        <v>83755</v>
      </c>
      <c r="S14" s="823">
        <f>'7'!G180+'9'!E89+'8'!E192</f>
        <v>178289</v>
      </c>
      <c r="T14" s="823">
        <f>'7'!H180+'9'!F89+'8'!F192</f>
        <v>-126</v>
      </c>
      <c r="U14" s="823">
        <f t="shared" si="11"/>
        <v>178163</v>
      </c>
      <c r="V14" s="823">
        <f>'7'!J180+'9'!H89+'8'!H192</f>
        <v>-3100</v>
      </c>
      <c r="W14" s="823">
        <f t="shared" si="11"/>
        <v>175063</v>
      </c>
      <c r="X14" s="823">
        <f>'7'!L180+'9'!J89+'8'!J192</f>
        <v>-2208</v>
      </c>
      <c r="Y14" s="823">
        <f t="shared" si="11"/>
        <v>172855</v>
      </c>
      <c r="Z14" s="823">
        <f>'7'!N180+'9'!L89+'8'!L192</f>
        <v>75810</v>
      </c>
      <c r="AA14" s="1518">
        <f t="shared" si="6"/>
        <v>0.43857568482253911</v>
      </c>
      <c r="AB14" s="823">
        <f t="shared" ref="AB14:AB15" si="13">Y14-AC14</f>
        <v>162764.75</v>
      </c>
      <c r="AC14" s="823">
        <f>'7'!Q180+'9'!O89+'8'!O192</f>
        <v>10090.25</v>
      </c>
      <c r="AD14" s="824">
        <f>'7'!R180+'9'!P89+'8'!P192</f>
        <v>0</v>
      </c>
    </row>
    <row r="15" spans="1:30" s="33" customFormat="1" ht="36.950000000000003" customHeight="1">
      <c r="A15" s="463" t="s">
        <v>379</v>
      </c>
      <c r="B15" s="1666">
        <f>'4'!C182+'5'!C144+'6'!C23</f>
        <v>37350</v>
      </c>
      <c r="C15" s="1666">
        <f>'4'!D182+'5'!D144+'6'!D23</f>
        <v>0</v>
      </c>
      <c r="D15" s="1666">
        <v>37865</v>
      </c>
      <c r="E15" s="1666">
        <v>200</v>
      </c>
      <c r="F15" s="1666">
        <f t="shared" si="10"/>
        <v>38065</v>
      </c>
      <c r="G15" s="1666">
        <f>'4'!J182+'5'!H136+'6'!J23</f>
        <v>0</v>
      </c>
      <c r="H15" s="1666">
        <f t="shared" si="10"/>
        <v>38065</v>
      </c>
      <c r="I15" s="1666">
        <f>'4'!L166+'5'!J144+'6'!L23</f>
        <v>624</v>
      </c>
      <c r="J15" s="1666">
        <f t="shared" si="10"/>
        <v>38689</v>
      </c>
      <c r="K15" s="1666">
        <v>10233</v>
      </c>
      <c r="L15" s="1421">
        <f t="shared" si="2"/>
        <v>0.26449378376282662</v>
      </c>
      <c r="M15" s="811">
        <f t="shared" si="12"/>
        <v>0</v>
      </c>
      <c r="N15" s="811">
        <f>'4'!Q182+'5'!O144+'6'!Q23</f>
        <v>38689</v>
      </c>
      <c r="O15" s="812">
        <f>'4'!R182+'5'!P144+'6'!R23</f>
        <v>0</v>
      </c>
      <c r="P15" s="464" t="s">
        <v>364</v>
      </c>
      <c r="Q15" s="823">
        <f>'7'!C181+'9'!C90+'8'!C193</f>
        <v>27300</v>
      </c>
      <c r="R15" s="823">
        <f>'7'!D181+'9'!D90+'8'!D193</f>
        <v>-13440</v>
      </c>
      <c r="S15" s="823">
        <f>'7'!G181+'9'!E90+'8'!E193</f>
        <v>13860</v>
      </c>
      <c r="T15" s="823">
        <f>'7'!H181+'9'!F90+'8'!F193</f>
        <v>0</v>
      </c>
      <c r="U15" s="823">
        <f t="shared" si="11"/>
        <v>13860</v>
      </c>
      <c r="V15" s="823">
        <f>'7'!J181+'9'!H90+'8'!H193</f>
        <v>0</v>
      </c>
      <c r="W15" s="823">
        <f t="shared" si="11"/>
        <v>13860</v>
      </c>
      <c r="X15" s="823">
        <f>'7'!L181+'9'!J90+'8'!J193</f>
        <v>0</v>
      </c>
      <c r="Y15" s="823">
        <f t="shared" si="11"/>
        <v>13860</v>
      </c>
      <c r="Z15" s="823">
        <f>'7'!N181+'9'!L90+'8'!L193</f>
        <v>3970</v>
      </c>
      <c r="AA15" s="1518">
        <f t="shared" si="6"/>
        <v>0.28643578643578643</v>
      </c>
      <c r="AB15" s="823">
        <f t="shared" si="13"/>
        <v>0</v>
      </c>
      <c r="AC15" s="823">
        <f>'7'!Q181+'9'!O90+'8'!O193</f>
        <v>13860</v>
      </c>
      <c r="AD15" s="824">
        <f>'7'!R181+'9'!P90+'8'!P193</f>
        <v>0</v>
      </c>
    </row>
    <row r="16" spans="1:30" s="33" customFormat="1" ht="47.1" customHeight="1">
      <c r="A16" s="466" t="s">
        <v>56</v>
      </c>
      <c r="B16" s="815">
        <f t="shared" ref="B16:O16" si="14">+B12+B6</f>
        <v>3132622</v>
      </c>
      <c r="C16" s="815">
        <f t="shared" si="14"/>
        <v>550935</v>
      </c>
      <c r="D16" s="815">
        <f t="shared" si="14"/>
        <v>3881294</v>
      </c>
      <c r="E16" s="815">
        <f t="shared" si="14"/>
        <v>123937</v>
      </c>
      <c r="F16" s="815">
        <f t="shared" si="14"/>
        <v>4005231</v>
      </c>
      <c r="G16" s="815">
        <f t="shared" si="14"/>
        <v>53090</v>
      </c>
      <c r="H16" s="815">
        <f t="shared" si="14"/>
        <v>4058321</v>
      </c>
      <c r="I16" s="815">
        <f t="shared" si="14"/>
        <v>274717</v>
      </c>
      <c r="J16" s="815">
        <f t="shared" si="14"/>
        <v>4333038</v>
      </c>
      <c r="K16" s="814">
        <f t="shared" si="14"/>
        <v>3583977</v>
      </c>
      <c r="L16" s="1410">
        <f t="shared" si="2"/>
        <v>0.82712798733821402</v>
      </c>
      <c r="M16" s="813">
        <f t="shared" si="14"/>
        <v>2936950</v>
      </c>
      <c r="N16" s="813">
        <f t="shared" si="14"/>
        <v>1396088</v>
      </c>
      <c r="O16" s="584">
        <f t="shared" si="14"/>
        <v>0</v>
      </c>
      <c r="P16" s="467" t="s">
        <v>57</v>
      </c>
      <c r="Q16" s="584">
        <f t="shared" ref="Q16:AD16" si="15">SUM(Q12+Q6)</f>
        <v>4549167</v>
      </c>
      <c r="R16" s="584" t="e">
        <f t="shared" si="15"/>
        <v>#REF!</v>
      </c>
      <c r="S16" s="584" t="e">
        <f t="shared" si="15"/>
        <v>#REF!</v>
      </c>
      <c r="T16" s="584" t="e">
        <f t="shared" si="15"/>
        <v>#REF!</v>
      </c>
      <c r="U16" s="584">
        <f t="shared" si="15"/>
        <v>5081288</v>
      </c>
      <c r="V16" s="584" t="e">
        <f t="shared" si="15"/>
        <v>#REF!</v>
      </c>
      <c r="W16" s="584">
        <f t="shared" si="15"/>
        <v>5134378</v>
      </c>
      <c r="X16" s="584" t="e">
        <f t="shared" si="15"/>
        <v>#REF!</v>
      </c>
      <c r="Y16" s="584">
        <f>SUM(Y12+Y6)</f>
        <v>5409095</v>
      </c>
      <c r="Z16" s="584">
        <f>SUM(Z12+Z6)</f>
        <v>3128130</v>
      </c>
      <c r="AA16" s="1517">
        <f>Z16/Y16</f>
        <v>0.57830931052237022</v>
      </c>
      <c r="AB16" s="584">
        <f t="shared" si="15"/>
        <v>4961638.25</v>
      </c>
      <c r="AC16" s="584">
        <f t="shared" si="15"/>
        <v>447456.75</v>
      </c>
      <c r="AD16" s="822">
        <f t="shared" si="15"/>
        <v>0</v>
      </c>
    </row>
    <row r="17" spans="1:30" s="36" customFormat="1" ht="36.950000000000003" customHeight="1">
      <c r="A17" s="463" t="s">
        <v>441</v>
      </c>
      <c r="B17" s="1666">
        <f>'4'!C168+'6'!C25+'5'!C156</f>
        <v>797200</v>
      </c>
      <c r="C17" s="1666">
        <f>'4'!D168+'6'!D25+'5'!D156</f>
        <v>158666</v>
      </c>
      <c r="D17" s="1666">
        <f>'4'!G168+'6'!E25+'5'!E156</f>
        <v>924766</v>
      </c>
      <c r="E17" s="1666">
        <f>'4'!H168+'6'!F25+'5'!F156</f>
        <v>0</v>
      </c>
      <c r="F17" s="1666">
        <f>'4'!G168+'6'!G25+'5'!G156</f>
        <v>924766</v>
      </c>
      <c r="G17" s="1666">
        <f>'4'!J168+'6'!H25+'5'!H156</f>
        <v>0</v>
      </c>
      <c r="H17" s="1666">
        <f>'4'!I168+'6'!I25+'5'!I156</f>
        <v>924766</v>
      </c>
      <c r="I17" s="1666">
        <f>'4'!L168+'6'!L25+'5'!J156</f>
        <v>0</v>
      </c>
      <c r="J17" s="1666">
        <v>917766</v>
      </c>
      <c r="K17" s="1666">
        <v>917766</v>
      </c>
      <c r="L17" s="1421">
        <f t="shared" si="2"/>
        <v>1</v>
      </c>
      <c r="M17" s="811">
        <f>J17-N17</f>
        <v>893646.75</v>
      </c>
      <c r="N17" s="811">
        <f>'4'!Q168+'6'!Q25+'5'!O156</f>
        <v>24119.25</v>
      </c>
      <c r="O17" s="812">
        <f>'4'!R168+'6'!R25+'5'!P156</f>
        <v>0</v>
      </c>
      <c r="P17" s="464" t="s">
        <v>138</v>
      </c>
      <c r="Q17" s="1323">
        <f>'7'!C183</f>
        <v>0</v>
      </c>
      <c r="R17" s="1323">
        <f>'7'!D183+'8'!D195</f>
        <v>461054</v>
      </c>
      <c r="S17" s="1323">
        <v>1255795</v>
      </c>
      <c r="T17" s="1323">
        <v>880000</v>
      </c>
      <c r="U17" s="823">
        <f>SUM(S17:T17)</f>
        <v>2135795</v>
      </c>
      <c r="V17" s="1323"/>
      <c r="W17" s="823">
        <f>SUM(U17:V17)</f>
        <v>2135795</v>
      </c>
      <c r="X17" s="823"/>
      <c r="Y17" s="823">
        <v>2135795</v>
      </c>
      <c r="Z17" s="823">
        <v>1591883</v>
      </c>
      <c r="AA17" s="1518">
        <f>Z17/Y17</f>
        <v>0.74533510940890868</v>
      </c>
      <c r="AB17" s="823">
        <f>Y17-AC17</f>
        <v>2135795</v>
      </c>
      <c r="AC17" s="1323">
        <f>'7'!Q183</f>
        <v>0</v>
      </c>
      <c r="AD17" s="1420">
        <f>'7'!R183</f>
        <v>0</v>
      </c>
    </row>
    <row r="18" spans="1:30" s="35" customFormat="1" ht="36.950000000000003" customHeight="1">
      <c r="A18" s="1154" t="s">
        <v>51</v>
      </c>
      <c r="B18" s="1666">
        <f>'4'!C168+'5'!C157+'6'!C26</f>
        <v>110200</v>
      </c>
      <c r="C18" s="1666">
        <f>'4'!D168+'5'!D157+'6'!D26</f>
        <v>110806</v>
      </c>
      <c r="D18" s="1666">
        <f>'4'!G168+'5'!E157+'6'!E26</f>
        <v>189906</v>
      </c>
      <c r="E18" s="1666">
        <f>'4'!H168+'5'!F157+'6'!F26</f>
        <v>0</v>
      </c>
      <c r="F18" s="1666">
        <f>'4'!G168+'5'!G157+'6'!G26</f>
        <v>189906</v>
      </c>
      <c r="G18" s="1666">
        <f>'4'!J168+'5'!H157+'6'!H26</f>
        <v>0</v>
      </c>
      <c r="H18" s="1666">
        <f>'4'!I168+'5'!I157+'6'!I26</f>
        <v>189906</v>
      </c>
      <c r="I18" s="1666">
        <f>'4'!L168+'5'!J157+'6'!J26</f>
        <v>0</v>
      </c>
      <c r="J18" s="1666">
        <f>'4'!M168+'5'!K157+'6'!M26</f>
        <v>182906</v>
      </c>
      <c r="K18" s="811">
        <v>189906</v>
      </c>
      <c r="L18" s="1421">
        <f t="shared" si="2"/>
        <v>1.0382710244606519</v>
      </c>
      <c r="M18" s="811">
        <f t="shared" ref="M18:M19" si="16">J18-N18</f>
        <v>166868.75</v>
      </c>
      <c r="N18" s="811">
        <f>'4'!Q168+'5'!O157+'6'!Q26</f>
        <v>16037.25</v>
      </c>
      <c r="O18" s="812">
        <f>'4'!R168+'5'!P157+'6'!R26</f>
        <v>0</v>
      </c>
      <c r="P18" s="1414"/>
      <c r="Q18" s="1323"/>
      <c r="R18" s="1323"/>
      <c r="S18" s="1323">
        <f>Q18+R18</f>
        <v>0</v>
      </c>
      <c r="T18" s="1323"/>
      <c r="U18" s="1323">
        <f>S18+T18</f>
        <v>0</v>
      </c>
      <c r="V18" s="1323"/>
      <c r="W18" s="1323">
        <f>U18+V18</f>
        <v>0</v>
      </c>
      <c r="X18" s="1323"/>
      <c r="Y18" s="1323"/>
      <c r="Z18" s="1323"/>
      <c r="AA18" s="1518"/>
      <c r="AB18" s="1323"/>
      <c r="AC18" s="1323"/>
      <c r="AD18" s="1420"/>
    </row>
    <row r="19" spans="1:30" s="33" customFormat="1" ht="36.950000000000003" customHeight="1">
      <c r="A19" s="1415" t="s">
        <v>828</v>
      </c>
      <c r="B19" s="1666">
        <f>'5'!C158+'6'!C27</f>
        <v>687000</v>
      </c>
      <c r="C19" s="1666">
        <f>'5'!D158+'6'!D27</f>
        <v>47860</v>
      </c>
      <c r="D19" s="1666">
        <f>'5'!E158+'6'!E27</f>
        <v>734860</v>
      </c>
      <c r="E19" s="1666">
        <f>'5'!F158+'6'!F27</f>
        <v>0</v>
      </c>
      <c r="F19" s="1666">
        <f>'5'!G158+'6'!G27</f>
        <v>734860</v>
      </c>
      <c r="G19" s="1666">
        <f>'5'!H158+'6'!H27</f>
        <v>0</v>
      </c>
      <c r="H19" s="1666">
        <f>'5'!I158+'6'!I27</f>
        <v>734860</v>
      </c>
      <c r="I19" s="1666">
        <f>'5'!J158+'6'!J27</f>
        <v>0</v>
      </c>
      <c r="J19" s="1666">
        <f>'5'!K158+'6'!M27</f>
        <v>734860</v>
      </c>
      <c r="K19" s="811">
        <v>734860</v>
      </c>
      <c r="L19" s="1421">
        <f t="shared" si="2"/>
        <v>1</v>
      </c>
      <c r="M19" s="811">
        <f t="shared" si="16"/>
        <v>726778</v>
      </c>
      <c r="N19" s="811">
        <f>'6'!Q27</f>
        <v>8082</v>
      </c>
      <c r="O19" s="812">
        <f>'5'!P158+'6'!R27</f>
        <v>0</v>
      </c>
      <c r="P19" s="1416"/>
      <c r="Q19" s="812"/>
      <c r="R19" s="812"/>
      <c r="S19" s="1323">
        <f>Q19+R19</f>
        <v>0</v>
      </c>
      <c r="T19" s="1323"/>
      <c r="U19" s="1323">
        <f>S19+T19</f>
        <v>0</v>
      </c>
      <c r="V19" s="1323"/>
      <c r="W19" s="1323">
        <f>U19+V19</f>
        <v>0</v>
      </c>
      <c r="X19" s="1323"/>
      <c r="Y19" s="1323">
        <f>W19+X19</f>
        <v>0</v>
      </c>
      <c r="Z19" s="1323"/>
      <c r="AA19" s="1518"/>
      <c r="AB19" s="812"/>
      <c r="AC19" s="812"/>
      <c r="AD19" s="1417"/>
    </row>
    <row r="20" spans="1:30" s="37" customFormat="1" ht="61.5" customHeight="1">
      <c r="A20" s="468" t="s">
        <v>140</v>
      </c>
      <c r="B20" s="815">
        <f t="shared" ref="B20:O20" si="17">B16+B17</f>
        <v>3929822</v>
      </c>
      <c r="C20" s="815">
        <f t="shared" si="17"/>
        <v>709601</v>
      </c>
      <c r="D20" s="815">
        <f t="shared" si="17"/>
        <v>4806060</v>
      </c>
      <c r="E20" s="815">
        <f t="shared" si="17"/>
        <v>123937</v>
      </c>
      <c r="F20" s="815">
        <f t="shared" si="17"/>
        <v>4929997</v>
      </c>
      <c r="G20" s="815">
        <f t="shared" si="17"/>
        <v>53090</v>
      </c>
      <c r="H20" s="815">
        <f t="shared" si="17"/>
        <v>4983087</v>
      </c>
      <c r="I20" s="815">
        <f>I16+I17</f>
        <v>274717</v>
      </c>
      <c r="J20" s="815">
        <f t="shared" si="17"/>
        <v>5250804</v>
      </c>
      <c r="K20" s="813">
        <f t="shared" si="17"/>
        <v>4501743</v>
      </c>
      <c r="L20" s="1410">
        <f t="shared" si="2"/>
        <v>0.85734356110035725</v>
      </c>
      <c r="M20" s="813">
        <f t="shared" si="17"/>
        <v>3830596.75</v>
      </c>
      <c r="N20" s="813">
        <f t="shared" si="17"/>
        <v>1420207.25</v>
      </c>
      <c r="O20" s="584">
        <f t="shared" si="17"/>
        <v>0</v>
      </c>
      <c r="P20" s="469" t="s">
        <v>141</v>
      </c>
      <c r="Q20" s="584">
        <f t="shared" ref="Q20:AD20" si="18">Q16+Q17</f>
        <v>4549167</v>
      </c>
      <c r="R20" s="584" t="e">
        <f t="shared" si="18"/>
        <v>#REF!</v>
      </c>
      <c r="S20" s="584" t="e">
        <f t="shared" si="18"/>
        <v>#REF!</v>
      </c>
      <c r="T20" s="584" t="e">
        <f t="shared" si="18"/>
        <v>#REF!</v>
      </c>
      <c r="U20" s="584">
        <f t="shared" si="18"/>
        <v>7217083</v>
      </c>
      <c r="V20" s="584" t="e">
        <f t="shared" si="18"/>
        <v>#REF!</v>
      </c>
      <c r="W20" s="584">
        <f t="shared" si="18"/>
        <v>7270173</v>
      </c>
      <c r="X20" s="584" t="e">
        <f t="shared" si="18"/>
        <v>#REF!</v>
      </c>
      <c r="Y20" s="584">
        <f t="shared" si="18"/>
        <v>7544890</v>
      </c>
      <c r="Z20" s="584">
        <f>Z16+Z17</f>
        <v>4720013</v>
      </c>
      <c r="AA20" s="1517">
        <f>Z20/Y20</f>
        <v>0.62559069781004095</v>
      </c>
      <c r="AB20" s="584">
        <f t="shared" si="18"/>
        <v>7097433.25</v>
      </c>
      <c r="AC20" s="584">
        <f t="shared" si="18"/>
        <v>447456.75</v>
      </c>
      <c r="AD20" s="822">
        <f t="shared" si="18"/>
        <v>0</v>
      </c>
    </row>
    <row r="21" spans="1:30" s="38" customFormat="1" ht="41.25" customHeight="1">
      <c r="A21" s="470" t="s">
        <v>829</v>
      </c>
      <c r="B21" s="815">
        <f t="shared" ref="B21:O21" si="19">B22+B23</f>
        <v>619345</v>
      </c>
      <c r="C21" s="815">
        <f t="shared" si="19"/>
        <v>0</v>
      </c>
      <c r="D21" s="815">
        <f t="shared" si="19"/>
        <v>1414086</v>
      </c>
      <c r="E21" s="815">
        <f t="shared" si="19"/>
        <v>880000</v>
      </c>
      <c r="F21" s="815">
        <f t="shared" si="19"/>
        <v>2294086</v>
      </c>
      <c r="G21" s="815">
        <f t="shared" si="19"/>
        <v>0</v>
      </c>
      <c r="H21" s="815">
        <f t="shared" si="19"/>
        <v>2294086</v>
      </c>
      <c r="I21" s="815">
        <f t="shared" si="19"/>
        <v>0</v>
      </c>
      <c r="J21" s="815">
        <f t="shared" si="19"/>
        <v>2294086</v>
      </c>
      <c r="K21" s="815">
        <f t="shared" si="19"/>
        <v>1361885</v>
      </c>
      <c r="L21" s="1413">
        <f t="shared" si="2"/>
        <v>0.59365036881790834</v>
      </c>
      <c r="M21" s="811">
        <f>J21-N21</f>
        <v>2294086</v>
      </c>
      <c r="N21" s="815">
        <f t="shared" si="19"/>
        <v>0</v>
      </c>
      <c r="O21" s="816">
        <f t="shared" si="19"/>
        <v>0</v>
      </c>
      <c r="P21" s="471"/>
      <c r="Q21" s="816">
        <v>0</v>
      </c>
      <c r="R21" s="816"/>
      <c r="S21" s="816">
        <f>Q21+R21</f>
        <v>0</v>
      </c>
      <c r="T21" s="816"/>
      <c r="U21" s="816">
        <f>S21+T21</f>
        <v>0</v>
      </c>
      <c r="V21" s="816"/>
      <c r="W21" s="816">
        <f>U21+V21</f>
        <v>0</v>
      </c>
      <c r="X21" s="816"/>
      <c r="Y21" s="816">
        <f>W21+X21</f>
        <v>0</v>
      </c>
      <c r="Z21" s="816"/>
      <c r="AA21" s="1519"/>
      <c r="AB21" s="816">
        <v>0</v>
      </c>
      <c r="AC21" s="816">
        <v>0</v>
      </c>
      <c r="AD21" s="825">
        <v>0</v>
      </c>
    </row>
    <row r="22" spans="1:30" s="33" customFormat="1" ht="36.950000000000003" customHeight="1">
      <c r="A22" s="1418" t="s">
        <v>471</v>
      </c>
      <c r="B22" s="1666">
        <f>'5'!C155</f>
        <v>489345</v>
      </c>
      <c r="C22" s="1666">
        <f>'5'!D155</f>
        <v>0</v>
      </c>
      <c r="D22" s="1666">
        <f>'5'!E155</f>
        <v>1284086</v>
      </c>
      <c r="E22" s="1666">
        <f>'5'!F155</f>
        <v>880000</v>
      </c>
      <c r="F22" s="1666">
        <f>'5'!G155</f>
        <v>2164086</v>
      </c>
      <c r="G22" s="1666">
        <f>'5'!H155</f>
        <v>0</v>
      </c>
      <c r="H22" s="1666">
        <f>'5'!I155</f>
        <v>2164086</v>
      </c>
      <c r="I22" s="1666">
        <f>'5'!J155</f>
        <v>0</v>
      </c>
      <c r="J22" s="1666">
        <f>'5'!K155</f>
        <v>2164086</v>
      </c>
      <c r="K22" s="1666">
        <v>1361885</v>
      </c>
      <c r="L22" s="1421">
        <f t="shared" si="2"/>
        <v>0.62931186653395477</v>
      </c>
      <c r="M22" s="811">
        <f t="shared" ref="M22:M23" si="20">J22-N22</f>
        <v>2164086</v>
      </c>
      <c r="N22" s="811">
        <f>'5'!O155</f>
        <v>0</v>
      </c>
      <c r="O22" s="812">
        <f>'5'!P155</f>
        <v>0</v>
      </c>
      <c r="P22" s="1416"/>
      <c r="Q22" s="812">
        <v>0</v>
      </c>
      <c r="R22" s="812"/>
      <c r="S22" s="1323">
        <f>Q22+R22</f>
        <v>0</v>
      </c>
      <c r="T22" s="1323"/>
      <c r="U22" s="1323">
        <f>S22+T22</f>
        <v>0</v>
      </c>
      <c r="V22" s="1323"/>
      <c r="W22" s="1323">
        <f>U22+V22</f>
        <v>0</v>
      </c>
      <c r="X22" s="1323"/>
      <c r="Y22" s="1323">
        <f>W22+X22</f>
        <v>0</v>
      </c>
      <c r="Z22" s="1323"/>
      <c r="AA22" s="1520"/>
      <c r="AB22" s="812">
        <v>0</v>
      </c>
      <c r="AC22" s="812">
        <v>0</v>
      </c>
      <c r="AD22" s="1417">
        <v>0</v>
      </c>
    </row>
    <row r="23" spans="1:30" s="33" customFormat="1" ht="43.5" customHeight="1">
      <c r="A23" s="1415" t="s">
        <v>830</v>
      </c>
      <c r="B23" s="1666">
        <f>'5'!C154</f>
        <v>130000</v>
      </c>
      <c r="C23" s="1666">
        <f>'5'!D154</f>
        <v>0</v>
      </c>
      <c r="D23" s="1666">
        <f>'5'!E154</f>
        <v>130000</v>
      </c>
      <c r="E23" s="1666">
        <f>'5'!F154</f>
        <v>0</v>
      </c>
      <c r="F23" s="1666">
        <f>'5'!G154</f>
        <v>130000</v>
      </c>
      <c r="G23" s="1666">
        <f>'5'!H154</f>
        <v>0</v>
      </c>
      <c r="H23" s="1666">
        <f>'5'!I154</f>
        <v>130000</v>
      </c>
      <c r="I23" s="1666">
        <f>'5'!J154</f>
        <v>0</v>
      </c>
      <c r="J23" s="1666">
        <f>'5'!K154</f>
        <v>130000</v>
      </c>
      <c r="K23" s="811">
        <f>'5'!L154</f>
        <v>0</v>
      </c>
      <c r="L23" s="1421">
        <f t="shared" si="2"/>
        <v>0</v>
      </c>
      <c r="M23" s="811">
        <f t="shared" si="20"/>
        <v>130000</v>
      </c>
      <c r="N23" s="811">
        <f>'5'!O154</f>
        <v>0</v>
      </c>
      <c r="O23" s="812">
        <f>'5'!P154</f>
        <v>0</v>
      </c>
      <c r="P23" s="1419"/>
      <c r="Q23" s="812">
        <v>0</v>
      </c>
      <c r="R23" s="812"/>
      <c r="S23" s="1323">
        <f>Q23+R23</f>
        <v>0</v>
      </c>
      <c r="T23" s="1323"/>
      <c r="U23" s="1323">
        <f>S23+T23</f>
        <v>0</v>
      </c>
      <c r="V23" s="1323"/>
      <c r="W23" s="1323">
        <f>U23+V23</f>
        <v>0</v>
      </c>
      <c r="X23" s="1323"/>
      <c r="Y23" s="1323">
        <f>W23+X23</f>
        <v>0</v>
      </c>
      <c r="Z23" s="1323"/>
      <c r="AA23" s="1520"/>
      <c r="AB23" s="812">
        <v>0</v>
      </c>
      <c r="AC23" s="812">
        <v>0</v>
      </c>
      <c r="AD23" s="1417">
        <v>0</v>
      </c>
    </row>
    <row r="24" spans="1:30" s="33" customFormat="1" ht="47.1" customHeight="1" thickBot="1">
      <c r="A24" s="473" t="s">
        <v>58</v>
      </c>
      <c r="B24" s="1667">
        <f t="shared" ref="B24:O24" si="21">B20+B21</f>
        <v>4549167</v>
      </c>
      <c r="C24" s="1667">
        <f t="shared" si="21"/>
        <v>709601</v>
      </c>
      <c r="D24" s="1667">
        <f t="shared" si="21"/>
        <v>6220146</v>
      </c>
      <c r="E24" s="1667">
        <f t="shared" si="21"/>
        <v>1003937</v>
      </c>
      <c r="F24" s="1667">
        <f t="shared" si="21"/>
        <v>7224083</v>
      </c>
      <c r="G24" s="1667">
        <f t="shared" si="21"/>
        <v>53090</v>
      </c>
      <c r="H24" s="1667">
        <f t="shared" si="21"/>
        <v>7277173</v>
      </c>
      <c r="I24" s="1667">
        <f>I20+I21</f>
        <v>274717</v>
      </c>
      <c r="J24" s="1667">
        <f>J20+J21</f>
        <v>7544890</v>
      </c>
      <c r="K24" s="817">
        <f>K20+K21</f>
        <v>5863628</v>
      </c>
      <c r="L24" s="1411">
        <f>K24/J24</f>
        <v>0.77716547226003296</v>
      </c>
      <c r="M24" s="817">
        <f t="shared" si="21"/>
        <v>6124682.75</v>
      </c>
      <c r="N24" s="817">
        <f t="shared" si="21"/>
        <v>1420207.25</v>
      </c>
      <c r="O24" s="818">
        <f t="shared" si="21"/>
        <v>0</v>
      </c>
      <c r="P24" s="474" t="s">
        <v>59</v>
      </c>
      <c r="Q24" s="818">
        <f t="shared" ref="Q24:AD24" si="22">Q20+Q21</f>
        <v>4549167</v>
      </c>
      <c r="R24" s="818" t="e">
        <f t="shared" si="22"/>
        <v>#REF!</v>
      </c>
      <c r="S24" s="818" t="e">
        <f t="shared" si="22"/>
        <v>#REF!</v>
      </c>
      <c r="T24" s="818" t="e">
        <f t="shared" si="22"/>
        <v>#REF!</v>
      </c>
      <c r="U24" s="818">
        <f t="shared" si="22"/>
        <v>7217083</v>
      </c>
      <c r="V24" s="818" t="e">
        <f t="shared" si="22"/>
        <v>#REF!</v>
      </c>
      <c r="W24" s="818">
        <f t="shared" si="22"/>
        <v>7270173</v>
      </c>
      <c r="X24" s="818" t="e">
        <f t="shared" si="22"/>
        <v>#REF!</v>
      </c>
      <c r="Y24" s="818">
        <f>Y20+Y21</f>
        <v>7544890</v>
      </c>
      <c r="Z24" s="818">
        <f>Z20+Z21</f>
        <v>4720013</v>
      </c>
      <c r="AA24" s="1521">
        <f>Z24/Y24</f>
        <v>0.62559069781004095</v>
      </c>
      <c r="AB24" s="818">
        <f t="shared" si="22"/>
        <v>7097433.25</v>
      </c>
      <c r="AC24" s="818">
        <f t="shared" si="22"/>
        <v>447456.75</v>
      </c>
      <c r="AD24" s="826">
        <f t="shared" si="22"/>
        <v>0</v>
      </c>
    </row>
    <row r="25" spans="1:30" s="40" customFormat="1" ht="72" customHeight="1" thickBot="1">
      <c r="A25" s="585" t="s">
        <v>129</v>
      </c>
      <c r="B25" s="1668">
        <f t="shared" ref="B25:K25" si="23">+B16-Q16</f>
        <v>-1416545</v>
      </c>
      <c r="C25" s="1668" t="e">
        <f t="shared" si="23"/>
        <v>#REF!</v>
      </c>
      <c r="D25" s="1668" t="e">
        <f t="shared" si="23"/>
        <v>#REF!</v>
      </c>
      <c r="E25" s="1668" t="e">
        <f t="shared" si="23"/>
        <v>#REF!</v>
      </c>
      <c r="F25" s="1668">
        <f t="shared" si="23"/>
        <v>-1076057</v>
      </c>
      <c r="G25" s="1668" t="e">
        <f t="shared" si="23"/>
        <v>#REF!</v>
      </c>
      <c r="H25" s="1668">
        <f t="shared" si="23"/>
        <v>-1076057</v>
      </c>
      <c r="I25" s="1668" t="e">
        <f t="shared" si="23"/>
        <v>#REF!</v>
      </c>
      <c r="J25" s="1668">
        <f>+J16-AC16</f>
        <v>3885581.25</v>
      </c>
      <c r="K25" s="819">
        <f t="shared" si="23"/>
        <v>455847</v>
      </c>
      <c r="L25" s="1412">
        <f>K25/J25</f>
        <v>0.11731758279408004</v>
      </c>
      <c r="M25" s="819">
        <f>+M16-AB16</f>
        <v>-2024688.25</v>
      </c>
      <c r="N25" s="820">
        <f>+N16-AC16</f>
        <v>948631.25</v>
      </c>
      <c r="O25" s="821">
        <v>0</v>
      </c>
      <c r="P25" s="475"/>
      <c r="Q25" s="586"/>
      <c r="R25" s="586"/>
      <c r="S25" s="586"/>
      <c r="T25" s="586"/>
      <c r="U25" s="586"/>
      <c r="V25" s="586"/>
      <c r="W25" s="586"/>
      <c r="X25" s="586"/>
      <c r="Y25" s="586"/>
      <c r="Z25" s="586"/>
      <c r="AA25" s="586"/>
      <c r="AB25" s="586"/>
      <c r="AC25" s="586"/>
      <c r="AD25" s="586"/>
    </row>
    <row r="26" spans="1:30">
      <c r="A26" s="41"/>
      <c r="P26" s="43"/>
      <c r="AB26" s="39"/>
      <c r="AD26" s="44"/>
    </row>
    <row r="27" spans="1:30"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</row>
    <row r="28" spans="1:30">
      <c r="N28" s="42" t="s">
        <v>98</v>
      </c>
      <c r="AC28" s="63" t="s">
        <v>98</v>
      </c>
    </row>
    <row r="35" spans="1: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40" spans="1: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</sheetData>
  <protectedRanges>
    <protectedRange sqref="A27:A28" name="Tartomány35_1"/>
  </protectedRanges>
  <mergeCells count="2">
    <mergeCell ref="A1:AC1"/>
    <mergeCell ref="A3:AD3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45" orientation="landscape" r:id="rId1"/>
  <headerFooter>
    <oddHeader>&amp;L&amp;"Arial,Dőlt"&amp;14 &amp;U3. melléklet a 15/2015. (V.29.) önkormányzati rendelethez</oddHeader>
    <oddFooter>&amp;C&amp;13Nagykőrös Város Önkormányzat 2014. évi zárszámadási rendelete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V190"/>
  <sheetViews>
    <sheetView view="pageLayout" zoomScaleNormal="100" zoomScaleSheetLayoutView="115" workbookViewId="0">
      <selection activeCell="C7" sqref="C7"/>
    </sheetView>
  </sheetViews>
  <sheetFormatPr defaultColWidth="9.140625" defaultRowHeight="12.75"/>
  <cols>
    <col min="1" max="1" width="7.140625" style="78" customWidth="1"/>
    <col min="2" max="2" width="42.7109375" style="12" customWidth="1"/>
    <col min="3" max="3" width="12.7109375" style="56" customWidth="1"/>
    <col min="4" max="4" width="12.7109375" style="1044" hidden="1" customWidth="1"/>
    <col min="5" max="5" width="12.7109375" style="56" hidden="1" customWidth="1"/>
    <col min="6" max="6" width="11.28515625" style="56" hidden="1" customWidth="1"/>
    <col min="7" max="7" width="12.7109375" style="56" hidden="1" customWidth="1"/>
    <col min="8" max="8" width="11.140625" style="56" hidden="1" customWidth="1"/>
    <col min="9" max="12" width="12.7109375" style="56" hidden="1" customWidth="1"/>
    <col min="13" max="14" width="12.7109375" style="56" customWidth="1"/>
    <col min="15" max="15" width="14" style="56" bestFit="1" customWidth="1"/>
    <col min="16" max="16" width="12.7109375" style="9" customWidth="1"/>
    <col min="17" max="17" width="11.28515625" style="9" customWidth="1"/>
    <col min="18" max="18" width="8.7109375" style="9" customWidth="1"/>
    <col min="19" max="21" width="9.140625" style="9"/>
    <col min="22" max="22" width="11.85546875" style="9" bestFit="1" customWidth="1"/>
    <col min="23" max="16384" width="9.140625" style="9"/>
  </cols>
  <sheetData>
    <row r="1" spans="1:21" s="49" customFormat="1" ht="43.5" customHeight="1" thickBot="1">
      <c r="A1" s="1758" t="s">
        <v>518</v>
      </c>
      <c r="B1" s="1758"/>
      <c r="C1" s="1758"/>
      <c r="D1" s="1758"/>
      <c r="E1" s="1758"/>
      <c r="F1" s="1758"/>
      <c r="G1" s="1758"/>
      <c r="H1" s="1758"/>
      <c r="I1" s="1758"/>
      <c r="J1" s="1758"/>
      <c r="K1" s="1758"/>
      <c r="L1" s="1758"/>
      <c r="M1" s="1758"/>
      <c r="N1" s="1758"/>
      <c r="O1" s="1758"/>
      <c r="P1" s="1758"/>
      <c r="Q1" s="1758"/>
      <c r="R1" s="1758"/>
    </row>
    <row r="2" spans="1:21" s="50" customFormat="1" ht="44.25" customHeight="1" thickBot="1">
      <c r="A2" s="90" t="s">
        <v>136</v>
      </c>
      <c r="B2" s="1161" t="s">
        <v>137</v>
      </c>
      <c r="C2" s="1426" t="s">
        <v>958</v>
      </c>
      <c r="D2" s="1423" t="s">
        <v>151</v>
      </c>
      <c r="E2" s="1424" t="s">
        <v>156</v>
      </c>
      <c r="F2" s="1425" t="s">
        <v>864</v>
      </c>
      <c r="G2" s="1425" t="s">
        <v>912</v>
      </c>
      <c r="H2" s="1425" t="s">
        <v>864</v>
      </c>
      <c r="I2" s="1425" t="s">
        <v>925</v>
      </c>
      <c r="J2" s="1425" t="s">
        <v>914</v>
      </c>
      <c r="K2" s="1425" t="s">
        <v>925</v>
      </c>
      <c r="L2" s="1425" t="s">
        <v>914</v>
      </c>
      <c r="M2" s="1426" t="s">
        <v>820</v>
      </c>
      <c r="N2" s="1426" t="s">
        <v>956</v>
      </c>
      <c r="O2" s="1426" t="s">
        <v>957</v>
      </c>
      <c r="P2" s="91" t="s">
        <v>318</v>
      </c>
      <c r="Q2" s="91" t="s">
        <v>872</v>
      </c>
      <c r="R2" s="92" t="s">
        <v>302</v>
      </c>
    </row>
    <row r="3" spans="1:21" s="58" customFormat="1" ht="30.95" customHeight="1" thickBot="1">
      <c r="A3" s="96" t="s">
        <v>218</v>
      </c>
      <c r="B3" s="1770" t="s">
        <v>482</v>
      </c>
      <c r="C3" s="1781"/>
      <c r="D3" s="1781"/>
      <c r="E3" s="1781"/>
      <c r="F3" s="1781"/>
      <c r="G3" s="1781"/>
      <c r="H3" s="1781"/>
      <c r="I3" s="1781"/>
      <c r="J3" s="1781"/>
      <c r="K3" s="1781"/>
      <c r="L3" s="1781"/>
      <c r="M3" s="1781"/>
      <c r="N3" s="1781"/>
      <c r="O3" s="1781"/>
      <c r="P3" s="1781"/>
      <c r="Q3" s="1781"/>
      <c r="R3" s="1782"/>
    </row>
    <row r="4" spans="1:21" s="11" customFormat="1" ht="18.95" customHeight="1">
      <c r="A4" s="83" t="s">
        <v>368</v>
      </c>
      <c r="B4" s="84" t="s">
        <v>366</v>
      </c>
      <c r="C4" s="827">
        <v>0</v>
      </c>
      <c r="D4" s="1046">
        <f>257+280</f>
        <v>537</v>
      </c>
      <c r="E4" s="827">
        <f>C4+D4</f>
        <v>537</v>
      </c>
      <c r="F4" s="827">
        <f>257+200</f>
        <v>457</v>
      </c>
      <c r="G4" s="827">
        <f>E4+F4</f>
        <v>994</v>
      </c>
      <c r="H4" s="827"/>
      <c r="I4" s="827">
        <f t="shared" ref="I4:I14" si="0">G4+H4</f>
        <v>994</v>
      </c>
      <c r="J4" s="827">
        <v>2488</v>
      </c>
      <c r="K4" s="827">
        <f t="shared" ref="K4:K13" si="1">I4+J4</f>
        <v>3482</v>
      </c>
      <c r="L4" s="827">
        <f>4985+6941</f>
        <v>11926</v>
      </c>
      <c r="M4" s="827">
        <v>12728</v>
      </c>
      <c r="N4" s="827">
        <v>12728</v>
      </c>
      <c r="O4" s="1428" t="s">
        <v>1129</v>
      </c>
      <c r="P4" s="829">
        <f t="shared" ref="P4:P13" si="2">M4</f>
        <v>12728</v>
      </c>
      <c r="Q4" s="827">
        <v>0</v>
      </c>
      <c r="R4" s="828">
        <v>0</v>
      </c>
      <c r="U4" s="11">
        <v>12728</v>
      </c>
    </row>
    <row r="5" spans="1:21" s="11" customFormat="1" ht="18.95" customHeight="1">
      <c r="A5" s="51" t="s">
        <v>369</v>
      </c>
      <c r="B5" s="52" t="s">
        <v>367</v>
      </c>
      <c r="C5" s="829">
        <v>0</v>
      </c>
      <c r="D5" s="1047">
        <f>300</f>
        <v>300</v>
      </c>
      <c r="E5" s="827">
        <f t="shared" ref="E5:E13" si="3">C5+D5</f>
        <v>300</v>
      </c>
      <c r="F5" s="827"/>
      <c r="G5" s="827">
        <f t="shared" ref="G5:G10" si="4">E5+F5</f>
        <v>300</v>
      </c>
      <c r="H5" s="827"/>
      <c r="I5" s="827">
        <f t="shared" si="0"/>
        <v>300</v>
      </c>
      <c r="J5" s="827"/>
      <c r="K5" s="827">
        <f t="shared" si="1"/>
        <v>300</v>
      </c>
      <c r="L5" s="827"/>
      <c r="M5" s="827">
        <v>0</v>
      </c>
      <c r="N5" s="827">
        <v>0</v>
      </c>
      <c r="O5" s="1428">
        <v>0</v>
      </c>
      <c r="P5" s="829">
        <f t="shared" si="2"/>
        <v>0</v>
      </c>
      <c r="Q5" s="829">
        <v>0</v>
      </c>
      <c r="R5" s="830">
        <v>0</v>
      </c>
      <c r="U5" s="11">
        <v>2280</v>
      </c>
    </row>
    <row r="6" spans="1:21" s="11" customFormat="1" ht="18.95" customHeight="1">
      <c r="A6" s="51" t="s">
        <v>370</v>
      </c>
      <c r="B6" s="52" t="s">
        <v>376</v>
      </c>
      <c r="C6" s="829">
        <v>0</v>
      </c>
      <c r="D6" s="1047"/>
      <c r="E6" s="827">
        <f t="shared" si="3"/>
        <v>0</v>
      </c>
      <c r="F6" s="827"/>
      <c r="G6" s="827">
        <f t="shared" si="4"/>
        <v>0</v>
      </c>
      <c r="H6" s="827"/>
      <c r="I6" s="827">
        <f t="shared" si="0"/>
        <v>0</v>
      </c>
      <c r="J6" s="827"/>
      <c r="K6" s="827">
        <f t="shared" si="1"/>
        <v>0</v>
      </c>
      <c r="L6" s="827"/>
      <c r="M6" s="827">
        <f t="shared" ref="M6:M12" si="5">K6+L6</f>
        <v>0</v>
      </c>
      <c r="N6" s="827"/>
      <c r="O6" s="1428"/>
      <c r="P6" s="829">
        <f t="shared" si="2"/>
        <v>0</v>
      </c>
      <c r="Q6" s="829">
        <v>0</v>
      </c>
      <c r="R6" s="830">
        <v>0</v>
      </c>
    </row>
    <row r="7" spans="1:21" s="11" customFormat="1" ht="18.95" customHeight="1">
      <c r="A7" s="51" t="s">
        <v>371</v>
      </c>
      <c r="B7" s="52" t="s">
        <v>47</v>
      </c>
      <c r="C7" s="829">
        <v>11960</v>
      </c>
      <c r="D7" s="1047"/>
      <c r="E7" s="827">
        <f t="shared" si="3"/>
        <v>11960</v>
      </c>
      <c r="F7" s="827"/>
      <c r="G7" s="827">
        <f t="shared" si="4"/>
        <v>11960</v>
      </c>
      <c r="H7" s="827"/>
      <c r="I7" s="827">
        <f t="shared" si="0"/>
        <v>11960</v>
      </c>
      <c r="J7" s="827"/>
      <c r="K7" s="827">
        <f t="shared" si="1"/>
        <v>11960</v>
      </c>
      <c r="L7" s="827">
        <v>1200</v>
      </c>
      <c r="M7" s="827">
        <f t="shared" si="5"/>
        <v>13160</v>
      </c>
      <c r="N7" s="1046">
        <v>14684</v>
      </c>
      <c r="O7" s="1428">
        <f t="shared" ref="O7:O14" si="6">N7/M7</f>
        <v>1.1158054711246201</v>
      </c>
      <c r="P7" s="829">
        <f t="shared" si="2"/>
        <v>13160</v>
      </c>
      <c r="Q7" s="829">
        <v>0</v>
      </c>
      <c r="R7" s="830">
        <v>0</v>
      </c>
      <c r="T7" s="1623"/>
      <c r="U7" s="11">
        <v>14684</v>
      </c>
    </row>
    <row r="8" spans="1:21" s="11" customFormat="1" ht="18.95" customHeight="1">
      <c r="A8" s="51" t="s">
        <v>372</v>
      </c>
      <c r="B8" s="52" t="s">
        <v>377</v>
      </c>
      <c r="C8" s="829">
        <v>0</v>
      </c>
      <c r="D8" s="1047"/>
      <c r="E8" s="827">
        <f t="shared" si="3"/>
        <v>0</v>
      </c>
      <c r="F8" s="827"/>
      <c r="G8" s="827">
        <f t="shared" si="4"/>
        <v>0</v>
      </c>
      <c r="H8" s="827"/>
      <c r="I8" s="827">
        <f t="shared" si="0"/>
        <v>0</v>
      </c>
      <c r="J8" s="827"/>
      <c r="K8" s="827">
        <f t="shared" si="1"/>
        <v>0</v>
      </c>
      <c r="L8" s="827"/>
      <c r="M8" s="827">
        <f t="shared" si="5"/>
        <v>0</v>
      </c>
      <c r="N8" s="827"/>
      <c r="O8" s="1428"/>
      <c r="P8" s="829">
        <f t="shared" si="2"/>
        <v>0</v>
      </c>
      <c r="Q8" s="829">
        <v>0</v>
      </c>
      <c r="R8" s="830">
        <v>0</v>
      </c>
    </row>
    <row r="9" spans="1:21" s="11" customFormat="1" ht="18.95" customHeight="1">
      <c r="A9" s="51" t="s">
        <v>373</v>
      </c>
      <c r="B9" s="52" t="s">
        <v>378</v>
      </c>
      <c r="C9" s="829">
        <v>0</v>
      </c>
      <c r="D9" s="1047"/>
      <c r="E9" s="827">
        <f t="shared" si="3"/>
        <v>0</v>
      </c>
      <c r="F9" s="827"/>
      <c r="G9" s="827">
        <f t="shared" si="4"/>
        <v>0</v>
      </c>
      <c r="H9" s="827">
        <v>7441</v>
      </c>
      <c r="I9" s="827">
        <f t="shared" si="0"/>
        <v>7441</v>
      </c>
      <c r="J9" s="827"/>
      <c r="K9" s="827">
        <f t="shared" si="1"/>
        <v>7441</v>
      </c>
      <c r="L9" s="827">
        <v>-6941</v>
      </c>
      <c r="M9" s="827">
        <v>3180</v>
      </c>
      <c r="N9" s="1046">
        <v>2780</v>
      </c>
      <c r="O9" s="1428">
        <f t="shared" si="6"/>
        <v>0.87421383647798745</v>
      </c>
      <c r="P9" s="829">
        <f t="shared" si="2"/>
        <v>3180</v>
      </c>
      <c r="Q9" s="829">
        <v>0</v>
      </c>
      <c r="R9" s="830">
        <v>0</v>
      </c>
      <c r="U9" s="11">
        <v>500</v>
      </c>
    </row>
    <row r="10" spans="1:21" s="11" customFormat="1" ht="18.95" customHeight="1">
      <c r="A10" s="51" t="s">
        <v>374</v>
      </c>
      <c r="B10" s="52" t="s">
        <v>379</v>
      </c>
      <c r="C10" s="829">
        <v>0</v>
      </c>
      <c r="D10" s="1047"/>
      <c r="E10" s="827">
        <f t="shared" si="3"/>
        <v>0</v>
      </c>
      <c r="F10" s="827"/>
      <c r="G10" s="827">
        <f t="shared" si="4"/>
        <v>0</v>
      </c>
      <c r="H10" s="827"/>
      <c r="I10" s="827">
        <f t="shared" si="0"/>
        <v>0</v>
      </c>
      <c r="J10" s="827"/>
      <c r="K10" s="827">
        <f t="shared" si="1"/>
        <v>0</v>
      </c>
      <c r="L10" s="827"/>
      <c r="M10" s="827">
        <v>300</v>
      </c>
      <c r="N10" s="827">
        <v>700</v>
      </c>
      <c r="O10" s="1428"/>
      <c r="P10" s="829">
        <f t="shared" si="2"/>
        <v>300</v>
      </c>
      <c r="Q10" s="829">
        <v>0</v>
      </c>
      <c r="R10" s="830">
        <v>0</v>
      </c>
      <c r="U10" s="11">
        <v>700</v>
      </c>
    </row>
    <row r="11" spans="1:21" s="11" customFormat="1" ht="18.95" customHeight="1">
      <c r="A11" s="51" t="s">
        <v>375</v>
      </c>
      <c r="B11" s="52" t="s">
        <v>380</v>
      </c>
      <c r="C11" s="831">
        <f>SUM(C12:C13)</f>
        <v>75073</v>
      </c>
      <c r="D11" s="1045">
        <f t="shared" ref="D11:R11" si="7">SUM(D12:D13)</f>
        <v>6332</v>
      </c>
      <c r="E11" s="1026">
        <f t="shared" si="7"/>
        <v>78405</v>
      </c>
      <c r="F11" s="1026">
        <f t="shared" si="7"/>
        <v>23147</v>
      </c>
      <c r="G11" s="1026">
        <f t="shared" si="7"/>
        <v>101552</v>
      </c>
      <c r="H11" s="829">
        <f>H12+H13</f>
        <v>198</v>
      </c>
      <c r="I11" s="827">
        <f t="shared" si="0"/>
        <v>101750</v>
      </c>
      <c r="J11" s="827">
        <f>J12+J13</f>
        <v>5121</v>
      </c>
      <c r="K11" s="827">
        <f t="shared" si="1"/>
        <v>106871</v>
      </c>
      <c r="L11" s="827">
        <f>SUM(L12:L13)</f>
        <v>99</v>
      </c>
      <c r="M11" s="827">
        <v>109970</v>
      </c>
      <c r="N11" s="827">
        <f>SUM(N12:N13)</f>
        <v>109659</v>
      </c>
      <c r="O11" s="1428">
        <f t="shared" si="6"/>
        <v>0.99717195598799668</v>
      </c>
      <c r="P11" s="829">
        <f t="shared" si="2"/>
        <v>109970</v>
      </c>
      <c r="Q11" s="831">
        <f t="shared" si="7"/>
        <v>0</v>
      </c>
      <c r="R11" s="832">
        <f t="shared" si="7"/>
        <v>0</v>
      </c>
      <c r="U11" s="11">
        <v>109659</v>
      </c>
    </row>
    <row r="12" spans="1:21" s="53" customFormat="1" ht="18" customHeight="1">
      <c r="A12" s="28" t="s">
        <v>440</v>
      </c>
      <c r="B12" s="21" t="s">
        <v>441</v>
      </c>
      <c r="C12" s="836">
        <v>3000</v>
      </c>
      <c r="D12" s="1053">
        <v>5347</v>
      </c>
      <c r="E12" s="1027">
        <v>5347</v>
      </c>
      <c r="F12" s="834"/>
      <c r="G12" s="834">
        <f>E12+F12</f>
        <v>5347</v>
      </c>
      <c r="H12" s="834"/>
      <c r="I12" s="1139">
        <f t="shared" si="0"/>
        <v>5347</v>
      </c>
      <c r="J12" s="1139"/>
      <c r="K12" s="1139">
        <f t="shared" si="1"/>
        <v>5347</v>
      </c>
      <c r="L12" s="1139"/>
      <c r="M12" s="1139">
        <f t="shared" si="5"/>
        <v>5347</v>
      </c>
      <c r="N12" s="1139">
        <v>5347</v>
      </c>
      <c r="O12" s="1439">
        <f t="shared" si="6"/>
        <v>1</v>
      </c>
      <c r="P12" s="834">
        <f t="shared" si="2"/>
        <v>5347</v>
      </c>
      <c r="Q12" s="836"/>
      <c r="R12" s="837"/>
      <c r="U12" s="53">
        <f>SUM(U4:U11)</f>
        <v>140551</v>
      </c>
    </row>
    <row r="13" spans="1:21" s="53" customFormat="1" ht="18" customHeight="1" thickBot="1">
      <c r="A13" s="85" t="s">
        <v>442</v>
      </c>
      <c r="B13" s="86" t="s">
        <v>443</v>
      </c>
      <c r="C13" s="836">
        <v>72073</v>
      </c>
      <c r="D13" s="1053">
        <f>525+1500+3621-3000-1661</f>
        <v>985</v>
      </c>
      <c r="E13" s="1427">
        <f t="shared" si="3"/>
        <v>73058</v>
      </c>
      <c r="F13" s="1427">
        <f>303+918+313+1500+9777+650+8000+1686</f>
        <v>23147</v>
      </c>
      <c r="G13" s="836">
        <f>E13+F13</f>
        <v>96205</v>
      </c>
      <c r="H13" s="836">
        <v>198</v>
      </c>
      <c r="I13" s="1427">
        <f t="shared" si="0"/>
        <v>96403</v>
      </c>
      <c r="J13" s="1427">
        <f>99+1420+3602</f>
        <v>5121</v>
      </c>
      <c r="K13" s="1427">
        <f t="shared" si="1"/>
        <v>101524</v>
      </c>
      <c r="L13" s="1427">
        <v>99</v>
      </c>
      <c r="M13" s="1139">
        <v>104623</v>
      </c>
      <c r="N13" s="1139">
        <v>104312</v>
      </c>
      <c r="O13" s="1440">
        <f t="shared" si="6"/>
        <v>0.99702742226852603</v>
      </c>
      <c r="P13" s="834">
        <f t="shared" si="2"/>
        <v>104623</v>
      </c>
      <c r="Q13" s="836">
        <v>0</v>
      </c>
      <c r="R13" s="837">
        <v>0</v>
      </c>
    </row>
    <row r="14" spans="1:21" s="81" customFormat="1" ht="21" customHeight="1" thickBot="1">
      <c r="A14" s="87"/>
      <c r="B14" s="89" t="s">
        <v>236</v>
      </c>
      <c r="C14" s="833">
        <f>SUM(C4:C11)</f>
        <v>87033</v>
      </c>
      <c r="D14" s="1048">
        <f t="shared" ref="D14:R14" si="8">SUM(D4:D11)</f>
        <v>7169</v>
      </c>
      <c r="E14" s="833">
        <f t="shared" si="8"/>
        <v>91202</v>
      </c>
      <c r="F14" s="833">
        <f t="shared" si="8"/>
        <v>23604</v>
      </c>
      <c r="G14" s="833">
        <f t="shared" si="8"/>
        <v>114806</v>
      </c>
      <c r="H14" s="833">
        <f>SUM(H4:H11)</f>
        <v>7639</v>
      </c>
      <c r="I14" s="833">
        <f t="shared" si="0"/>
        <v>122445</v>
      </c>
      <c r="J14" s="833">
        <f>SUM(J4:J11)</f>
        <v>7609</v>
      </c>
      <c r="K14" s="833">
        <f>SUM(K4:K11)</f>
        <v>130054</v>
      </c>
      <c r="L14" s="833">
        <f>SUM(L4:L11)</f>
        <v>6284</v>
      </c>
      <c r="M14" s="833">
        <f>SUM(M4:M11)</f>
        <v>139338</v>
      </c>
      <c r="N14" s="1048">
        <f>SUM(N4:N11)</f>
        <v>140551</v>
      </c>
      <c r="O14" s="1442">
        <f t="shared" si="6"/>
        <v>1.0087054500566968</v>
      </c>
      <c r="P14" s="833">
        <f>SUM(P4:P11)</f>
        <v>139338</v>
      </c>
      <c r="Q14" s="833">
        <f t="shared" si="8"/>
        <v>0</v>
      </c>
      <c r="R14" s="1069">
        <f t="shared" si="8"/>
        <v>0</v>
      </c>
      <c r="U14" s="81">
        <v>140551</v>
      </c>
    </row>
    <row r="15" spans="1:21" s="58" customFormat="1" ht="30.95" customHeight="1" thickBot="1">
      <c r="A15" s="97" t="s">
        <v>219</v>
      </c>
      <c r="B15" s="1783" t="s">
        <v>481</v>
      </c>
      <c r="C15" s="1771"/>
      <c r="D15" s="1771"/>
      <c r="E15" s="1771"/>
      <c r="F15" s="1771"/>
      <c r="G15" s="1771"/>
      <c r="H15" s="1771"/>
      <c r="I15" s="1771"/>
      <c r="J15" s="1771"/>
      <c r="K15" s="1771"/>
      <c r="L15" s="1771"/>
      <c r="M15" s="1771"/>
      <c r="N15" s="1771"/>
      <c r="O15" s="1771"/>
      <c r="P15" s="1771"/>
      <c r="Q15" s="1771"/>
      <c r="R15" s="1772"/>
    </row>
    <row r="16" spans="1:21" s="11" customFormat="1" ht="18.95" customHeight="1">
      <c r="A16" s="83" t="s">
        <v>368</v>
      </c>
      <c r="B16" s="84" t="s">
        <v>366</v>
      </c>
      <c r="C16" s="827">
        <v>0</v>
      </c>
      <c r="D16" s="1046">
        <v>1045</v>
      </c>
      <c r="E16" s="827">
        <f>C16+D16</f>
        <v>1045</v>
      </c>
      <c r="F16" s="827">
        <v>2022</v>
      </c>
      <c r="G16" s="827">
        <f>E16+F16</f>
        <v>3067</v>
      </c>
      <c r="H16" s="827">
        <v>1903</v>
      </c>
      <c r="I16" s="827">
        <f t="shared" ref="I16:I26" si="9">G16+H16</f>
        <v>4970</v>
      </c>
      <c r="J16" s="827">
        <v>1070</v>
      </c>
      <c r="K16" s="827">
        <f t="shared" ref="K16:K25" si="10">I16+J16</f>
        <v>6040</v>
      </c>
      <c r="L16" s="827">
        <v>3019</v>
      </c>
      <c r="M16" s="827">
        <f t="shared" ref="M16:M25" si="11">K16+L16</f>
        <v>9059</v>
      </c>
      <c r="N16" s="1046">
        <v>9059</v>
      </c>
      <c r="O16" s="1428">
        <f>N16/M16</f>
        <v>1</v>
      </c>
      <c r="P16" s="827">
        <f t="shared" ref="P16:P25" si="12">M16</f>
        <v>9059</v>
      </c>
      <c r="Q16" s="827">
        <v>0</v>
      </c>
      <c r="R16" s="828">
        <v>0</v>
      </c>
      <c r="U16" s="11">
        <v>9059</v>
      </c>
    </row>
    <row r="17" spans="1:22" s="11" customFormat="1" ht="18.95" customHeight="1">
      <c r="A17" s="51" t="s">
        <v>369</v>
      </c>
      <c r="B17" s="52" t="s">
        <v>367</v>
      </c>
      <c r="C17" s="829">
        <v>0</v>
      </c>
      <c r="D17" s="1047"/>
      <c r="E17" s="827">
        <f t="shared" ref="E17:E22" si="13">C17+D17</f>
        <v>0</v>
      </c>
      <c r="F17" s="827"/>
      <c r="G17" s="827">
        <f t="shared" ref="G17:G22" si="14">E17+F17</f>
        <v>0</v>
      </c>
      <c r="H17" s="827"/>
      <c r="I17" s="827">
        <f t="shared" si="9"/>
        <v>0</v>
      </c>
      <c r="J17" s="827"/>
      <c r="K17" s="827">
        <f t="shared" si="10"/>
        <v>0</v>
      </c>
      <c r="L17" s="827"/>
      <c r="M17" s="827">
        <f t="shared" si="11"/>
        <v>0</v>
      </c>
      <c r="N17" s="1046"/>
      <c r="O17" s="1428"/>
      <c r="P17" s="827">
        <f t="shared" si="12"/>
        <v>0</v>
      </c>
      <c r="Q17" s="829">
        <v>0</v>
      </c>
      <c r="R17" s="830">
        <v>0</v>
      </c>
    </row>
    <row r="18" spans="1:22" s="11" customFormat="1" ht="18.95" customHeight="1">
      <c r="A18" s="51" t="s">
        <v>370</v>
      </c>
      <c r="B18" s="52" t="s">
        <v>376</v>
      </c>
      <c r="C18" s="829">
        <v>0</v>
      </c>
      <c r="D18" s="1047"/>
      <c r="E18" s="827">
        <f t="shared" si="13"/>
        <v>0</v>
      </c>
      <c r="F18" s="827"/>
      <c r="G18" s="827">
        <f t="shared" si="14"/>
        <v>0</v>
      </c>
      <c r="H18" s="827"/>
      <c r="I18" s="827">
        <f t="shared" si="9"/>
        <v>0</v>
      </c>
      <c r="J18" s="827"/>
      <c r="K18" s="827">
        <f t="shared" si="10"/>
        <v>0</v>
      </c>
      <c r="L18" s="827"/>
      <c r="M18" s="827">
        <f t="shared" si="11"/>
        <v>0</v>
      </c>
      <c r="N18" s="1046"/>
      <c r="O18" s="1428"/>
      <c r="P18" s="827">
        <f t="shared" si="12"/>
        <v>0</v>
      </c>
      <c r="Q18" s="829">
        <v>0</v>
      </c>
      <c r="R18" s="830">
        <v>0</v>
      </c>
    </row>
    <row r="19" spans="1:22" s="11" customFormat="1" ht="18.95" customHeight="1">
      <c r="A19" s="51" t="s">
        <v>371</v>
      </c>
      <c r="B19" s="52" t="s">
        <v>47</v>
      </c>
      <c r="C19" s="829">
        <v>46293</v>
      </c>
      <c r="D19" s="1047"/>
      <c r="E19" s="827">
        <f t="shared" si="13"/>
        <v>46293</v>
      </c>
      <c r="F19" s="827"/>
      <c r="G19" s="827">
        <f t="shared" si="14"/>
        <v>46293</v>
      </c>
      <c r="H19" s="827"/>
      <c r="I19" s="827">
        <f t="shared" si="9"/>
        <v>46293</v>
      </c>
      <c r="J19" s="827"/>
      <c r="K19" s="827">
        <f t="shared" si="10"/>
        <v>46293</v>
      </c>
      <c r="L19" s="827"/>
      <c r="M19" s="827">
        <f t="shared" si="11"/>
        <v>46293</v>
      </c>
      <c r="N19" s="1046">
        <v>46289</v>
      </c>
      <c r="O19" s="1428">
        <f t="shared" ref="O19:O26" si="15">N19/M19</f>
        <v>0.99991359384788192</v>
      </c>
      <c r="P19" s="827">
        <f t="shared" si="12"/>
        <v>46293</v>
      </c>
      <c r="Q19" s="829">
        <v>0</v>
      </c>
      <c r="R19" s="830">
        <v>0</v>
      </c>
      <c r="U19" s="11">
        <v>46289</v>
      </c>
    </row>
    <row r="20" spans="1:22" s="11" customFormat="1" ht="18.95" customHeight="1">
      <c r="A20" s="51" t="s">
        <v>372</v>
      </c>
      <c r="B20" s="52" t="s">
        <v>377</v>
      </c>
      <c r="C20" s="829">
        <v>0</v>
      </c>
      <c r="D20" s="1047"/>
      <c r="E20" s="827">
        <f t="shared" si="13"/>
        <v>0</v>
      </c>
      <c r="F20" s="827"/>
      <c r="G20" s="827">
        <f t="shared" si="14"/>
        <v>0</v>
      </c>
      <c r="H20" s="827"/>
      <c r="I20" s="827">
        <f t="shared" si="9"/>
        <v>0</v>
      </c>
      <c r="J20" s="827"/>
      <c r="K20" s="827">
        <f t="shared" si="10"/>
        <v>0</v>
      </c>
      <c r="L20" s="827"/>
      <c r="M20" s="827">
        <f t="shared" si="11"/>
        <v>0</v>
      </c>
      <c r="N20" s="1046"/>
      <c r="O20" s="1428"/>
      <c r="P20" s="827">
        <f t="shared" si="12"/>
        <v>0</v>
      </c>
      <c r="Q20" s="829">
        <v>0</v>
      </c>
      <c r="R20" s="830">
        <v>0</v>
      </c>
    </row>
    <row r="21" spans="1:22" s="11" customFormat="1" ht="18.95" customHeight="1">
      <c r="A21" s="51" t="s">
        <v>373</v>
      </c>
      <c r="B21" s="52" t="s">
        <v>378</v>
      </c>
      <c r="C21" s="829">
        <v>0</v>
      </c>
      <c r="D21" s="1047"/>
      <c r="E21" s="827">
        <f t="shared" si="13"/>
        <v>0</v>
      </c>
      <c r="F21" s="827"/>
      <c r="G21" s="827">
        <f t="shared" si="14"/>
        <v>0</v>
      </c>
      <c r="H21" s="827"/>
      <c r="I21" s="827">
        <f t="shared" si="9"/>
        <v>0</v>
      </c>
      <c r="J21" s="827"/>
      <c r="K21" s="827">
        <f t="shared" si="10"/>
        <v>0</v>
      </c>
      <c r="L21" s="827"/>
      <c r="M21" s="827">
        <f t="shared" si="11"/>
        <v>0</v>
      </c>
      <c r="N21" s="1046"/>
      <c r="O21" s="1428"/>
      <c r="P21" s="827">
        <f t="shared" si="12"/>
        <v>0</v>
      </c>
      <c r="Q21" s="829">
        <v>0</v>
      </c>
      <c r="R21" s="830">
        <v>0</v>
      </c>
    </row>
    <row r="22" spans="1:22" s="11" customFormat="1" ht="18.95" customHeight="1">
      <c r="A22" s="82" t="s">
        <v>374</v>
      </c>
      <c r="B22" s="52" t="s">
        <v>379</v>
      </c>
      <c r="C22" s="829">
        <v>0</v>
      </c>
      <c r="D22" s="1047"/>
      <c r="E22" s="829">
        <f t="shared" si="13"/>
        <v>0</v>
      </c>
      <c r="F22" s="827"/>
      <c r="G22" s="827">
        <f t="shared" si="14"/>
        <v>0</v>
      </c>
      <c r="H22" s="827"/>
      <c r="I22" s="827">
        <f t="shared" si="9"/>
        <v>0</v>
      </c>
      <c r="J22" s="827"/>
      <c r="K22" s="827">
        <f t="shared" si="10"/>
        <v>0</v>
      </c>
      <c r="L22" s="827"/>
      <c r="M22" s="827">
        <f t="shared" si="11"/>
        <v>0</v>
      </c>
      <c r="N22" s="1046"/>
      <c r="O22" s="1428"/>
      <c r="P22" s="827">
        <f t="shared" si="12"/>
        <v>0</v>
      </c>
      <c r="Q22" s="829">
        <v>0</v>
      </c>
      <c r="R22" s="830">
        <v>0</v>
      </c>
    </row>
    <row r="23" spans="1:22" s="11" customFormat="1" ht="18.95" customHeight="1">
      <c r="A23" s="51" t="s">
        <v>375</v>
      </c>
      <c r="B23" s="52" t="s">
        <v>380</v>
      </c>
      <c r="C23" s="1028">
        <f t="shared" ref="C23:R23" si="16">SUM(C24:C25)</f>
        <v>199027</v>
      </c>
      <c r="D23" s="1050">
        <f t="shared" si="16"/>
        <v>10520</v>
      </c>
      <c r="E23" s="1028">
        <f t="shared" si="16"/>
        <v>209547</v>
      </c>
      <c r="F23" s="1028">
        <f t="shared" si="16"/>
        <v>6300</v>
      </c>
      <c r="G23" s="1028">
        <f t="shared" si="16"/>
        <v>215847</v>
      </c>
      <c r="H23" s="827">
        <f>H24+H25</f>
        <v>7696</v>
      </c>
      <c r="I23" s="827">
        <f t="shared" si="9"/>
        <v>223543</v>
      </c>
      <c r="J23" s="827">
        <f>J24+J25</f>
        <v>472</v>
      </c>
      <c r="K23" s="827">
        <f t="shared" si="10"/>
        <v>224015</v>
      </c>
      <c r="L23" s="827">
        <f>L24+L25</f>
        <v>970</v>
      </c>
      <c r="M23" s="827">
        <f t="shared" si="11"/>
        <v>224985</v>
      </c>
      <c r="N23" s="1046">
        <f>SUM(N24:N25)</f>
        <v>220349</v>
      </c>
      <c r="O23" s="1428">
        <f t="shared" si="15"/>
        <v>0.97939418183434446</v>
      </c>
      <c r="P23" s="827">
        <f t="shared" si="12"/>
        <v>224985</v>
      </c>
      <c r="Q23" s="1028">
        <f t="shared" si="16"/>
        <v>0</v>
      </c>
      <c r="R23" s="828">
        <f t="shared" si="16"/>
        <v>0</v>
      </c>
      <c r="U23" s="11">
        <v>220349</v>
      </c>
      <c r="V23" s="1623"/>
    </row>
    <row r="24" spans="1:22" s="53" customFormat="1" ht="18" customHeight="1">
      <c r="A24" s="28" t="s">
        <v>440</v>
      </c>
      <c r="B24" s="21" t="s">
        <v>441</v>
      </c>
      <c r="C24" s="1027">
        <v>7000</v>
      </c>
      <c r="D24" s="1049">
        <v>2661</v>
      </c>
      <c r="E24" s="1027">
        <f>C24+D24</f>
        <v>9661</v>
      </c>
      <c r="F24" s="1139"/>
      <c r="G24" s="1139">
        <f>E24+F24</f>
        <v>9661</v>
      </c>
      <c r="H24" s="1139"/>
      <c r="I24" s="1139">
        <f t="shared" si="9"/>
        <v>9661</v>
      </c>
      <c r="J24" s="1139"/>
      <c r="K24" s="1139">
        <f t="shared" si="10"/>
        <v>9661</v>
      </c>
      <c r="L24" s="1139"/>
      <c r="M24" s="1139">
        <v>2661</v>
      </c>
      <c r="N24" s="1610">
        <v>2661</v>
      </c>
      <c r="O24" s="1439">
        <f t="shared" si="15"/>
        <v>1</v>
      </c>
      <c r="P24" s="1139">
        <f t="shared" si="12"/>
        <v>2661</v>
      </c>
      <c r="Q24" s="1027"/>
      <c r="R24" s="835"/>
      <c r="U24" s="53">
        <v>2661</v>
      </c>
    </row>
    <row r="25" spans="1:22" s="53" customFormat="1" ht="18" customHeight="1" thickBot="1">
      <c r="A25" s="85" t="s">
        <v>442</v>
      </c>
      <c r="B25" s="1159" t="s">
        <v>443</v>
      </c>
      <c r="C25" s="1287">
        <v>192027</v>
      </c>
      <c r="D25" s="1288">
        <f>2451+8320+4088-7000</f>
        <v>7859</v>
      </c>
      <c r="E25" s="1287">
        <f>C25+D25</f>
        <v>199886</v>
      </c>
      <c r="F25" s="836">
        <f>1425+2208+2667</f>
        <v>6300</v>
      </c>
      <c r="G25" s="1287">
        <f>E25+F25</f>
        <v>206186</v>
      </c>
      <c r="H25" s="836">
        <f>934+1749+5013</f>
        <v>7696</v>
      </c>
      <c r="I25" s="1427">
        <f t="shared" si="9"/>
        <v>213882</v>
      </c>
      <c r="J25" s="1427">
        <v>472</v>
      </c>
      <c r="K25" s="1427">
        <f t="shared" si="10"/>
        <v>214354</v>
      </c>
      <c r="L25" s="1427">
        <f>448+522</f>
        <v>970</v>
      </c>
      <c r="M25" s="1139">
        <f t="shared" si="11"/>
        <v>215324</v>
      </c>
      <c r="N25" s="1610">
        <v>217688</v>
      </c>
      <c r="O25" s="1441">
        <f t="shared" si="15"/>
        <v>1.0109788040348497</v>
      </c>
      <c r="P25" s="1139">
        <f t="shared" si="12"/>
        <v>215324</v>
      </c>
      <c r="Q25" s="1287"/>
      <c r="R25" s="837"/>
      <c r="U25" s="53">
        <v>217688</v>
      </c>
    </row>
    <row r="26" spans="1:22" s="81" customFormat="1" ht="21" customHeight="1" thickBot="1">
      <c r="A26" s="87"/>
      <c r="B26" s="89" t="s">
        <v>236</v>
      </c>
      <c r="C26" s="833">
        <f t="shared" ref="C26:R26" si="17">SUM(C16:C23)</f>
        <v>245320</v>
      </c>
      <c r="D26" s="1048">
        <f t="shared" si="17"/>
        <v>11565</v>
      </c>
      <c r="E26" s="833">
        <f t="shared" si="17"/>
        <v>256885</v>
      </c>
      <c r="F26" s="833">
        <f t="shared" si="17"/>
        <v>8322</v>
      </c>
      <c r="G26" s="833">
        <f t="shared" si="17"/>
        <v>265207</v>
      </c>
      <c r="H26" s="833">
        <f>SUM(H16:H23)</f>
        <v>9599</v>
      </c>
      <c r="I26" s="833">
        <f t="shared" si="9"/>
        <v>274806</v>
      </c>
      <c r="J26" s="833">
        <f>SUM(J16:J23)</f>
        <v>1542</v>
      </c>
      <c r="K26" s="833">
        <f>SUM(K16:K23)</f>
        <v>276348</v>
      </c>
      <c r="L26" s="833">
        <f>SUM(L16:L23)</f>
        <v>3989</v>
      </c>
      <c r="M26" s="833">
        <f>SUM(M16:M23)</f>
        <v>280337</v>
      </c>
      <c r="N26" s="1048">
        <f>SUM(N16:N23)</f>
        <v>275697</v>
      </c>
      <c r="O26" s="1443">
        <f t="shared" si="15"/>
        <v>0.98344849235027842</v>
      </c>
      <c r="P26" s="833">
        <f t="shared" si="17"/>
        <v>280337</v>
      </c>
      <c r="Q26" s="833">
        <f t="shared" si="17"/>
        <v>0</v>
      </c>
      <c r="R26" s="1069">
        <f t="shared" si="17"/>
        <v>0</v>
      </c>
    </row>
    <row r="27" spans="1:22" s="60" customFormat="1" ht="30.95" customHeight="1" thickBot="1">
      <c r="A27" s="98" t="s">
        <v>257</v>
      </c>
      <c r="B27" s="1770" t="s">
        <v>478</v>
      </c>
      <c r="C27" s="1771"/>
      <c r="D27" s="1771"/>
      <c r="E27" s="1771"/>
      <c r="F27" s="1771"/>
      <c r="G27" s="1771"/>
      <c r="H27" s="1771"/>
      <c r="I27" s="1771"/>
      <c r="J27" s="1771"/>
      <c r="K27" s="1771"/>
      <c r="L27" s="1771"/>
      <c r="M27" s="1771"/>
      <c r="N27" s="1771"/>
      <c r="O27" s="1771"/>
      <c r="P27" s="1771"/>
      <c r="Q27" s="1771"/>
      <c r="R27" s="1772"/>
    </row>
    <row r="28" spans="1:22" s="53" customFormat="1" ht="18.95" customHeight="1">
      <c r="A28" s="83" t="s">
        <v>368</v>
      </c>
      <c r="B28" s="84" t="s">
        <v>366</v>
      </c>
      <c r="C28" s="827">
        <v>0</v>
      </c>
      <c r="D28" s="1046">
        <v>44</v>
      </c>
      <c r="E28" s="827">
        <f>C28+D28</f>
        <v>44</v>
      </c>
      <c r="F28" s="827"/>
      <c r="G28" s="827">
        <f>E28+F28</f>
        <v>44</v>
      </c>
      <c r="H28" s="827"/>
      <c r="I28" s="827">
        <f t="shared" ref="I28:I38" si="18">G28+H28</f>
        <v>44</v>
      </c>
      <c r="J28" s="827">
        <v>263</v>
      </c>
      <c r="K28" s="827">
        <f t="shared" ref="K28:K37" si="19">I28+J28</f>
        <v>307</v>
      </c>
      <c r="L28" s="827">
        <f>459-44</f>
        <v>415</v>
      </c>
      <c r="M28" s="827">
        <f t="shared" ref="M28:M36" si="20">K28+L28</f>
        <v>722</v>
      </c>
      <c r="N28" s="1046">
        <v>722</v>
      </c>
      <c r="O28" s="1428">
        <f>N28/M28</f>
        <v>1</v>
      </c>
      <c r="P28" s="827">
        <f t="shared" ref="P28:P37" si="21">M28</f>
        <v>722</v>
      </c>
      <c r="Q28" s="827">
        <v>0</v>
      </c>
      <c r="R28" s="828">
        <v>0</v>
      </c>
    </row>
    <row r="29" spans="1:22" s="53" customFormat="1" ht="18.95" customHeight="1">
      <c r="A29" s="51" t="s">
        <v>369</v>
      </c>
      <c r="B29" s="52" t="s">
        <v>367</v>
      </c>
      <c r="C29" s="829">
        <v>0</v>
      </c>
      <c r="D29" s="1047">
        <v>0</v>
      </c>
      <c r="E29" s="827">
        <f t="shared" ref="E29:E37" si="22">C29+D29</f>
        <v>0</v>
      </c>
      <c r="F29" s="827"/>
      <c r="G29" s="827">
        <f t="shared" ref="G29:G34" si="23">E29+F29</f>
        <v>0</v>
      </c>
      <c r="H29" s="827"/>
      <c r="I29" s="827">
        <f t="shared" si="18"/>
        <v>0</v>
      </c>
      <c r="J29" s="827"/>
      <c r="K29" s="827">
        <f t="shared" si="19"/>
        <v>0</v>
      </c>
      <c r="L29" s="827"/>
      <c r="M29" s="827">
        <f t="shared" si="20"/>
        <v>0</v>
      </c>
      <c r="N29" s="827"/>
      <c r="O29" s="1428"/>
      <c r="P29" s="827">
        <f t="shared" si="21"/>
        <v>0</v>
      </c>
      <c r="Q29" s="829">
        <v>0</v>
      </c>
      <c r="R29" s="830">
        <v>0</v>
      </c>
    </row>
    <row r="30" spans="1:22" s="53" customFormat="1" ht="18.95" customHeight="1">
      <c r="A30" s="51" t="s">
        <v>370</v>
      </c>
      <c r="B30" s="52" t="s">
        <v>376</v>
      </c>
      <c r="C30" s="829">
        <v>0</v>
      </c>
      <c r="D30" s="1047"/>
      <c r="E30" s="827">
        <f t="shared" si="22"/>
        <v>0</v>
      </c>
      <c r="F30" s="827"/>
      <c r="G30" s="827">
        <f t="shared" si="23"/>
        <v>0</v>
      </c>
      <c r="H30" s="827"/>
      <c r="I30" s="827">
        <f t="shared" si="18"/>
        <v>0</v>
      </c>
      <c r="J30" s="827"/>
      <c r="K30" s="827">
        <f t="shared" si="19"/>
        <v>0</v>
      </c>
      <c r="L30" s="827"/>
      <c r="M30" s="827">
        <f t="shared" si="20"/>
        <v>0</v>
      </c>
      <c r="N30" s="827"/>
      <c r="O30" s="1428"/>
      <c r="P30" s="827">
        <f t="shared" si="21"/>
        <v>0</v>
      </c>
      <c r="Q30" s="829">
        <v>0</v>
      </c>
      <c r="R30" s="830">
        <v>0</v>
      </c>
    </row>
    <row r="31" spans="1:22" s="53" customFormat="1" ht="18.95" customHeight="1">
      <c r="A31" s="51" t="s">
        <v>371</v>
      </c>
      <c r="B31" s="52" t="s">
        <v>47</v>
      </c>
      <c r="C31" s="829">
        <v>0</v>
      </c>
      <c r="D31" s="1047"/>
      <c r="E31" s="827">
        <f t="shared" si="22"/>
        <v>0</v>
      </c>
      <c r="F31" s="827"/>
      <c r="G31" s="827">
        <f t="shared" si="23"/>
        <v>0</v>
      </c>
      <c r="H31" s="827"/>
      <c r="I31" s="827">
        <f t="shared" si="18"/>
        <v>0</v>
      </c>
      <c r="J31" s="827"/>
      <c r="K31" s="827">
        <f t="shared" si="19"/>
        <v>0</v>
      </c>
      <c r="L31" s="827">
        <f>13+44</f>
        <v>57</v>
      </c>
      <c r="M31" s="827">
        <f t="shared" si="20"/>
        <v>57</v>
      </c>
      <c r="N31" s="1046">
        <v>58</v>
      </c>
      <c r="O31" s="1428">
        <f t="shared" ref="O31:O38" si="24">N31/M31</f>
        <v>1.0175438596491229</v>
      </c>
      <c r="P31" s="827">
        <f t="shared" si="21"/>
        <v>57</v>
      </c>
      <c r="Q31" s="829">
        <v>0</v>
      </c>
      <c r="R31" s="830">
        <v>0</v>
      </c>
    </row>
    <row r="32" spans="1:22" s="53" customFormat="1" ht="18.95" customHeight="1">
      <c r="A32" s="51" t="s">
        <v>372</v>
      </c>
      <c r="B32" s="52" t="s">
        <v>377</v>
      </c>
      <c r="C32" s="829">
        <v>0</v>
      </c>
      <c r="D32" s="1047"/>
      <c r="E32" s="827">
        <f t="shared" si="22"/>
        <v>0</v>
      </c>
      <c r="F32" s="827"/>
      <c r="G32" s="827">
        <f t="shared" si="23"/>
        <v>0</v>
      </c>
      <c r="H32" s="827"/>
      <c r="I32" s="827">
        <f t="shared" si="18"/>
        <v>0</v>
      </c>
      <c r="J32" s="827"/>
      <c r="K32" s="827">
        <f t="shared" si="19"/>
        <v>0</v>
      </c>
      <c r="L32" s="827"/>
      <c r="M32" s="827">
        <f t="shared" si="20"/>
        <v>0</v>
      </c>
      <c r="N32" s="827"/>
      <c r="O32" s="1428"/>
      <c r="P32" s="827">
        <f t="shared" si="21"/>
        <v>0</v>
      </c>
      <c r="Q32" s="829">
        <v>0</v>
      </c>
      <c r="R32" s="830">
        <v>0</v>
      </c>
    </row>
    <row r="33" spans="1:20" s="53" customFormat="1" ht="18.95" customHeight="1">
      <c r="A33" s="51" t="s">
        <v>373</v>
      </c>
      <c r="B33" s="52" t="s">
        <v>378</v>
      </c>
      <c r="C33" s="829">
        <v>0</v>
      </c>
      <c r="D33" s="1047"/>
      <c r="E33" s="827">
        <f t="shared" si="22"/>
        <v>0</v>
      </c>
      <c r="F33" s="827"/>
      <c r="G33" s="827">
        <f t="shared" si="23"/>
        <v>0</v>
      </c>
      <c r="H33" s="827"/>
      <c r="I33" s="827">
        <f t="shared" si="18"/>
        <v>0</v>
      </c>
      <c r="J33" s="827"/>
      <c r="K33" s="827">
        <f t="shared" si="19"/>
        <v>0</v>
      </c>
      <c r="L33" s="827"/>
      <c r="M33" s="827">
        <f t="shared" si="20"/>
        <v>0</v>
      </c>
      <c r="N33" s="827"/>
      <c r="O33" s="1428"/>
      <c r="P33" s="827">
        <f t="shared" si="21"/>
        <v>0</v>
      </c>
      <c r="Q33" s="829">
        <v>0</v>
      </c>
      <c r="R33" s="830">
        <v>0</v>
      </c>
    </row>
    <row r="34" spans="1:20" s="53" customFormat="1" ht="18.95" customHeight="1">
      <c r="A34" s="51" t="s">
        <v>374</v>
      </c>
      <c r="B34" s="52" t="s">
        <v>379</v>
      </c>
      <c r="C34" s="829">
        <v>0</v>
      </c>
      <c r="D34" s="1047"/>
      <c r="E34" s="827">
        <f t="shared" si="22"/>
        <v>0</v>
      </c>
      <c r="F34" s="827"/>
      <c r="G34" s="827">
        <f t="shared" si="23"/>
        <v>0</v>
      </c>
      <c r="H34" s="827"/>
      <c r="I34" s="827">
        <f t="shared" si="18"/>
        <v>0</v>
      </c>
      <c r="J34" s="827"/>
      <c r="K34" s="827">
        <f t="shared" si="19"/>
        <v>0</v>
      </c>
      <c r="L34" s="827"/>
      <c r="M34" s="827">
        <f t="shared" si="20"/>
        <v>0</v>
      </c>
      <c r="N34" s="827"/>
      <c r="O34" s="1428"/>
      <c r="P34" s="827">
        <f t="shared" si="21"/>
        <v>0</v>
      </c>
      <c r="Q34" s="829">
        <v>0</v>
      </c>
      <c r="R34" s="830">
        <v>0</v>
      </c>
    </row>
    <row r="35" spans="1:20" s="53" customFormat="1" ht="18.95" customHeight="1">
      <c r="A35" s="51" t="s">
        <v>375</v>
      </c>
      <c r="B35" s="52" t="s">
        <v>380</v>
      </c>
      <c r="C35" s="831">
        <f>SUM(C36:C37)</f>
        <v>127066</v>
      </c>
      <c r="D35" s="1045">
        <f t="shared" ref="D35:R35" si="25">SUM(D36:D37)</f>
        <v>3696</v>
      </c>
      <c r="E35" s="831">
        <f t="shared" si="25"/>
        <v>129862</v>
      </c>
      <c r="F35" s="831">
        <f t="shared" si="25"/>
        <v>288</v>
      </c>
      <c r="G35" s="831">
        <f t="shared" si="25"/>
        <v>130150</v>
      </c>
      <c r="H35" s="1026">
        <f>H36+H37</f>
        <v>150</v>
      </c>
      <c r="I35" s="827">
        <f t="shared" si="18"/>
        <v>130300</v>
      </c>
      <c r="J35" s="827">
        <f>J36+J37</f>
        <v>87</v>
      </c>
      <c r="K35" s="827">
        <f t="shared" si="19"/>
        <v>130387</v>
      </c>
      <c r="L35" s="827">
        <f>L36+L37</f>
        <v>86</v>
      </c>
      <c r="M35" s="827">
        <f>SUM(M36:M37)</f>
        <v>131373</v>
      </c>
      <c r="N35" s="827">
        <f>SUM(N36:N37)</f>
        <v>129392</v>
      </c>
      <c r="O35" s="1428">
        <f t="shared" si="24"/>
        <v>0.98492079803308141</v>
      </c>
      <c r="P35" s="827">
        <f t="shared" si="21"/>
        <v>131373</v>
      </c>
      <c r="Q35" s="831">
        <f t="shared" si="25"/>
        <v>0</v>
      </c>
      <c r="R35" s="832">
        <f t="shared" si="25"/>
        <v>0</v>
      </c>
    </row>
    <row r="36" spans="1:20" s="53" customFormat="1" ht="18" customHeight="1">
      <c r="A36" s="28" t="s">
        <v>440</v>
      </c>
      <c r="B36" s="21" t="s">
        <v>441</v>
      </c>
      <c r="C36" s="836">
        <v>900</v>
      </c>
      <c r="D36" s="1053">
        <v>956</v>
      </c>
      <c r="E36" s="1027">
        <v>956</v>
      </c>
      <c r="F36" s="1027"/>
      <c r="G36" s="1027">
        <f>E36+F36</f>
        <v>956</v>
      </c>
      <c r="H36" s="1027"/>
      <c r="I36" s="1139">
        <f t="shared" si="18"/>
        <v>956</v>
      </c>
      <c r="J36" s="1139"/>
      <c r="K36" s="1139">
        <f t="shared" si="19"/>
        <v>956</v>
      </c>
      <c r="L36" s="1139"/>
      <c r="M36" s="1139">
        <f t="shared" si="20"/>
        <v>956</v>
      </c>
      <c r="N36" s="1610">
        <v>956</v>
      </c>
      <c r="O36" s="1439">
        <f t="shared" si="24"/>
        <v>1</v>
      </c>
      <c r="P36" s="1139">
        <f t="shared" si="21"/>
        <v>956</v>
      </c>
      <c r="Q36" s="836"/>
      <c r="R36" s="837"/>
    </row>
    <row r="37" spans="1:20" s="53" customFormat="1" ht="18" customHeight="1" thickBot="1">
      <c r="A37" s="85" t="s">
        <v>442</v>
      </c>
      <c r="B37" s="86" t="s">
        <v>443</v>
      </c>
      <c r="C37" s="836">
        <v>126166</v>
      </c>
      <c r="D37" s="1053">
        <f>541+853+2246-900</f>
        <v>2740</v>
      </c>
      <c r="E37" s="1427">
        <f t="shared" si="22"/>
        <v>128906</v>
      </c>
      <c r="F37" s="1427">
        <f>288</f>
        <v>288</v>
      </c>
      <c r="G37" s="1287">
        <f>E37+F37</f>
        <v>129194</v>
      </c>
      <c r="H37" s="1427">
        <v>150</v>
      </c>
      <c r="I37" s="1427">
        <f t="shared" si="18"/>
        <v>129344</v>
      </c>
      <c r="J37" s="1427">
        <v>87</v>
      </c>
      <c r="K37" s="1427">
        <f t="shared" si="19"/>
        <v>129431</v>
      </c>
      <c r="L37" s="1427">
        <v>86</v>
      </c>
      <c r="M37" s="1139">
        <v>130417</v>
      </c>
      <c r="N37" s="1610">
        <v>128436</v>
      </c>
      <c r="O37" s="1440">
        <f t="shared" si="24"/>
        <v>0.98481026246578285</v>
      </c>
      <c r="P37" s="1139">
        <f t="shared" si="21"/>
        <v>130417</v>
      </c>
      <c r="Q37" s="836">
        <v>0</v>
      </c>
      <c r="R37" s="837">
        <v>0</v>
      </c>
    </row>
    <row r="38" spans="1:20" s="81" customFormat="1" ht="21" customHeight="1" thickBot="1">
      <c r="A38" s="87"/>
      <c r="B38" s="89" t="s">
        <v>236</v>
      </c>
      <c r="C38" s="833">
        <f>SUM(C28:C35)</f>
        <v>127066</v>
      </c>
      <c r="D38" s="1048">
        <f t="shared" ref="D38:R38" si="26">SUM(D28:D35)</f>
        <v>3740</v>
      </c>
      <c r="E38" s="833">
        <f t="shared" si="26"/>
        <v>129906</v>
      </c>
      <c r="F38" s="833">
        <f t="shared" si="26"/>
        <v>288</v>
      </c>
      <c r="G38" s="833">
        <f t="shared" si="26"/>
        <v>130194</v>
      </c>
      <c r="H38" s="833">
        <f>SUM(H28:H35)</f>
        <v>150</v>
      </c>
      <c r="I38" s="833">
        <f t="shared" si="18"/>
        <v>130344</v>
      </c>
      <c r="J38" s="833">
        <f>SUM(J28:J35)</f>
        <v>350</v>
      </c>
      <c r="K38" s="833">
        <f>SUM(K28:K35)</f>
        <v>130694</v>
      </c>
      <c r="L38" s="833">
        <f>SUM(L28:L35)</f>
        <v>558</v>
      </c>
      <c r="M38" s="833">
        <f>SUM(M28:M35)</f>
        <v>132152</v>
      </c>
      <c r="N38" s="833">
        <f>SUM(N28:N35)</f>
        <v>130172</v>
      </c>
      <c r="O38" s="1442">
        <f t="shared" si="24"/>
        <v>0.98501725286034258</v>
      </c>
      <c r="P38" s="833">
        <f>SUM(P28:P35)</f>
        <v>132152</v>
      </c>
      <c r="Q38" s="833">
        <f t="shared" si="26"/>
        <v>0</v>
      </c>
      <c r="R38" s="1069">
        <f t="shared" si="26"/>
        <v>0</v>
      </c>
    </row>
    <row r="39" spans="1:20" s="60" customFormat="1" ht="30.95" customHeight="1" thickBot="1">
      <c r="A39" s="98" t="s">
        <v>260</v>
      </c>
      <c r="B39" s="1770" t="s">
        <v>479</v>
      </c>
      <c r="C39" s="1771"/>
      <c r="D39" s="1771"/>
      <c r="E39" s="1771"/>
      <c r="F39" s="1771"/>
      <c r="G39" s="1771"/>
      <c r="H39" s="1771"/>
      <c r="I39" s="1771"/>
      <c r="J39" s="1771"/>
      <c r="K39" s="1771"/>
      <c r="L39" s="1771"/>
      <c r="M39" s="1771"/>
      <c r="N39" s="1771"/>
      <c r="O39" s="1771"/>
      <c r="P39" s="1771"/>
      <c r="Q39" s="1771"/>
      <c r="R39" s="1772"/>
    </row>
    <row r="40" spans="1:20" s="53" customFormat="1" ht="18.95" customHeight="1">
      <c r="A40" s="83" t="s">
        <v>368</v>
      </c>
      <c r="B40" s="84" t="s">
        <v>366</v>
      </c>
      <c r="C40" s="827">
        <v>0</v>
      </c>
      <c r="D40" s="1046">
        <v>433</v>
      </c>
      <c r="E40" s="827">
        <f>C40+D40</f>
        <v>433</v>
      </c>
      <c r="F40" s="827">
        <v>128</v>
      </c>
      <c r="G40" s="827">
        <f>E40+F40</f>
        <v>561</v>
      </c>
      <c r="H40" s="827"/>
      <c r="I40" s="827">
        <f t="shared" ref="I40:I50" si="27">G40+H40</f>
        <v>561</v>
      </c>
      <c r="J40" s="827">
        <v>175</v>
      </c>
      <c r="K40" s="827">
        <f t="shared" ref="K40:K49" si="28">I40+J40</f>
        <v>736</v>
      </c>
      <c r="L40" s="827">
        <f>349</f>
        <v>349</v>
      </c>
      <c r="M40" s="827">
        <f t="shared" ref="M40:M48" si="29">K40+L40</f>
        <v>1085</v>
      </c>
      <c r="N40" s="827">
        <v>1085</v>
      </c>
      <c r="O40" s="1428">
        <f>N40/M40</f>
        <v>1</v>
      </c>
      <c r="P40" s="827">
        <f t="shared" ref="P40:P49" si="30">M40</f>
        <v>1085</v>
      </c>
      <c r="Q40" s="827">
        <v>0</v>
      </c>
      <c r="R40" s="828">
        <v>0</v>
      </c>
      <c r="T40" s="53">
        <v>1085</v>
      </c>
    </row>
    <row r="41" spans="1:20" s="53" customFormat="1" ht="18.95" customHeight="1">
      <c r="A41" s="51" t="s">
        <v>369</v>
      </c>
      <c r="B41" s="52" t="s">
        <v>367</v>
      </c>
      <c r="C41" s="829">
        <v>0</v>
      </c>
      <c r="D41" s="1047"/>
      <c r="E41" s="827">
        <f t="shared" ref="E41:E49" si="31">C41+D41</f>
        <v>0</v>
      </c>
      <c r="F41" s="827"/>
      <c r="G41" s="827">
        <f t="shared" ref="G41:G46" si="32">E41+F41</f>
        <v>0</v>
      </c>
      <c r="H41" s="827"/>
      <c r="I41" s="827">
        <f t="shared" si="27"/>
        <v>0</v>
      </c>
      <c r="J41" s="827"/>
      <c r="K41" s="827">
        <f t="shared" si="28"/>
        <v>0</v>
      </c>
      <c r="L41" s="827"/>
      <c r="M41" s="827">
        <f t="shared" si="29"/>
        <v>0</v>
      </c>
      <c r="N41" s="827"/>
      <c r="O41" s="1428"/>
      <c r="P41" s="827">
        <f t="shared" si="30"/>
        <v>0</v>
      </c>
      <c r="Q41" s="829">
        <v>0</v>
      </c>
      <c r="R41" s="830">
        <v>0</v>
      </c>
    </row>
    <row r="42" spans="1:20" s="53" customFormat="1" ht="18.95" customHeight="1">
      <c r="A42" s="51" t="s">
        <v>370</v>
      </c>
      <c r="B42" s="52" t="s">
        <v>376</v>
      </c>
      <c r="C42" s="829">
        <v>0</v>
      </c>
      <c r="D42" s="1047"/>
      <c r="E42" s="827">
        <f t="shared" si="31"/>
        <v>0</v>
      </c>
      <c r="F42" s="827"/>
      <c r="G42" s="827">
        <f t="shared" si="32"/>
        <v>0</v>
      </c>
      <c r="H42" s="827"/>
      <c r="I42" s="827">
        <f t="shared" si="27"/>
        <v>0</v>
      </c>
      <c r="J42" s="827"/>
      <c r="K42" s="827">
        <f t="shared" si="28"/>
        <v>0</v>
      </c>
      <c r="L42" s="827"/>
      <c r="M42" s="827">
        <f t="shared" si="29"/>
        <v>0</v>
      </c>
      <c r="N42" s="827"/>
      <c r="O42" s="1428"/>
      <c r="P42" s="827">
        <f t="shared" si="30"/>
        <v>0</v>
      </c>
      <c r="Q42" s="829">
        <v>0</v>
      </c>
      <c r="R42" s="830">
        <v>0</v>
      </c>
    </row>
    <row r="43" spans="1:20" s="53" customFormat="1" ht="18.95" customHeight="1">
      <c r="A43" s="51" t="s">
        <v>371</v>
      </c>
      <c r="B43" s="52" t="s">
        <v>47</v>
      </c>
      <c r="C43" s="829">
        <v>0</v>
      </c>
      <c r="D43" s="1047"/>
      <c r="E43" s="827">
        <f t="shared" si="31"/>
        <v>0</v>
      </c>
      <c r="F43" s="827"/>
      <c r="G43" s="827">
        <f t="shared" si="32"/>
        <v>0</v>
      </c>
      <c r="H43" s="827"/>
      <c r="I43" s="827">
        <f t="shared" si="27"/>
        <v>0</v>
      </c>
      <c r="J43" s="827"/>
      <c r="K43" s="827">
        <f t="shared" si="28"/>
        <v>0</v>
      </c>
      <c r="L43" s="827"/>
      <c r="M43" s="827">
        <f t="shared" si="29"/>
        <v>0</v>
      </c>
      <c r="N43" s="827">
        <v>1</v>
      </c>
      <c r="O43" s="1428"/>
      <c r="P43" s="827">
        <f t="shared" si="30"/>
        <v>0</v>
      </c>
      <c r="Q43" s="829">
        <v>0</v>
      </c>
      <c r="R43" s="830">
        <v>0</v>
      </c>
      <c r="T43" s="53">
        <v>1</v>
      </c>
    </row>
    <row r="44" spans="1:20" s="53" customFormat="1" ht="18.95" customHeight="1">
      <c r="A44" s="51" t="s">
        <v>372</v>
      </c>
      <c r="B44" s="52" t="s">
        <v>377</v>
      </c>
      <c r="C44" s="829">
        <v>0</v>
      </c>
      <c r="D44" s="1047"/>
      <c r="E44" s="827">
        <f t="shared" si="31"/>
        <v>0</v>
      </c>
      <c r="F44" s="827"/>
      <c r="G44" s="827">
        <f t="shared" si="32"/>
        <v>0</v>
      </c>
      <c r="H44" s="827"/>
      <c r="I44" s="827">
        <f t="shared" si="27"/>
        <v>0</v>
      </c>
      <c r="J44" s="827"/>
      <c r="K44" s="827">
        <f t="shared" si="28"/>
        <v>0</v>
      </c>
      <c r="L44" s="827"/>
      <c r="M44" s="827">
        <f t="shared" si="29"/>
        <v>0</v>
      </c>
      <c r="N44" s="827"/>
      <c r="O44" s="1428"/>
      <c r="P44" s="827">
        <f t="shared" si="30"/>
        <v>0</v>
      </c>
      <c r="Q44" s="829">
        <v>0</v>
      </c>
      <c r="R44" s="830">
        <v>0</v>
      </c>
    </row>
    <row r="45" spans="1:20" s="53" customFormat="1" ht="18.95" customHeight="1">
      <c r="A45" s="51" t="s">
        <v>373</v>
      </c>
      <c r="B45" s="52" t="s">
        <v>378</v>
      </c>
      <c r="C45" s="829">
        <v>0</v>
      </c>
      <c r="D45" s="1047"/>
      <c r="E45" s="827">
        <f t="shared" si="31"/>
        <v>0</v>
      </c>
      <c r="F45" s="827"/>
      <c r="G45" s="827">
        <f t="shared" si="32"/>
        <v>0</v>
      </c>
      <c r="H45" s="827"/>
      <c r="I45" s="827">
        <f t="shared" si="27"/>
        <v>0</v>
      </c>
      <c r="J45" s="827"/>
      <c r="K45" s="827">
        <f t="shared" si="28"/>
        <v>0</v>
      </c>
      <c r="L45" s="827"/>
      <c r="M45" s="827">
        <f t="shared" si="29"/>
        <v>0</v>
      </c>
      <c r="N45" s="827"/>
      <c r="O45" s="1428"/>
      <c r="P45" s="827">
        <f t="shared" si="30"/>
        <v>0</v>
      </c>
      <c r="Q45" s="829">
        <v>0</v>
      </c>
      <c r="R45" s="830">
        <v>0</v>
      </c>
    </row>
    <row r="46" spans="1:20" s="53" customFormat="1" ht="18.95" customHeight="1">
      <c r="A46" s="51" t="s">
        <v>374</v>
      </c>
      <c r="B46" s="52" t="s">
        <v>379</v>
      </c>
      <c r="C46" s="829">
        <v>0</v>
      </c>
      <c r="D46" s="1047"/>
      <c r="E46" s="827">
        <f t="shared" si="31"/>
        <v>0</v>
      </c>
      <c r="F46" s="827"/>
      <c r="G46" s="827">
        <f t="shared" si="32"/>
        <v>0</v>
      </c>
      <c r="H46" s="827"/>
      <c r="I46" s="827">
        <f t="shared" si="27"/>
        <v>0</v>
      </c>
      <c r="J46" s="827"/>
      <c r="K46" s="827">
        <f t="shared" si="28"/>
        <v>0</v>
      </c>
      <c r="L46" s="827"/>
      <c r="M46" s="827">
        <f t="shared" si="29"/>
        <v>0</v>
      </c>
      <c r="N46" s="827"/>
      <c r="O46" s="1428"/>
      <c r="P46" s="827">
        <f t="shared" si="30"/>
        <v>0</v>
      </c>
      <c r="Q46" s="829">
        <v>0</v>
      </c>
      <c r="R46" s="830">
        <v>0</v>
      </c>
    </row>
    <row r="47" spans="1:20" s="53" customFormat="1" ht="18.95" customHeight="1">
      <c r="A47" s="51" t="s">
        <v>375</v>
      </c>
      <c r="B47" s="52" t="s">
        <v>380</v>
      </c>
      <c r="C47" s="831">
        <f>SUM(C48:C49)</f>
        <v>78070</v>
      </c>
      <c r="D47" s="1045">
        <f t="shared" ref="D47:R47" si="33">SUM(D48:D49)</f>
        <v>2582</v>
      </c>
      <c r="E47" s="831">
        <f t="shared" si="33"/>
        <v>76752</v>
      </c>
      <c r="F47" s="831">
        <f t="shared" si="33"/>
        <v>152</v>
      </c>
      <c r="G47" s="831">
        <f t="shared" si="33"/>
        <v>76904</v>
      </c>
      <c r="H47" s="1026">
        <f>H48+H49</f>
        <v>96</v>
      </c>
      <c r="I47" s="827">
        <f t="shared" si="27"/>
        <v>77000</v>
      </c>
      <c r="J47" s="827">
        <f>J48+J49</f>
        <v>45</v>
      </c>
      <c r="K47" s="827">
        <f t="shared" si="28"/>
        <v>77045</v>
      </c>
      <c r="L47" s="827">
        <f>L48+L49</f>
        <v>45</v>
      </c>
      <c r="M47" s="827">
        <v>80990</v>
      </c>
      <c r="N47" s="827">
        <f>SUM(N48:N49)</f>
        <v>78505</v>
      </c>
      <c r="O47" s="1428">
        <f t="shared" ref="O47:O50" si="34">N47/M47</f>
        <v>0.96931719965427832</v>
      </c>
      <c r="P47" s="827">
        <f t="shared" si="30"/>
        <v>80990</v>
      </c>
      <c r="Q47" s="831">
        <f t="shared" si="33"/>
        <v>0</v>
      </c>
      <c r="R47" s="832">
        <f t="shared" si="33"/>
        <v>0</v>
      </c>
      <c r="T47" s="53">
        <v>78505</v>
      </c>
    </row>
    <row r="48" spans="1:20" s="53" customFormat="1" ht="18" customHeight="1">
      <c r="A48" s="28" t="s">
        <v>440</v>
      </c>
      <c r="B48" s="21" t="s">
        <v>441</v>
      </c>
      <c r="C48" s="836">
        <v>3900</v>
      </c>
      <c r="D48" s="1053">
        <v>1430</v>
      </c>
      <c r="E48" s="1027">
        <v>1430</v>
      </c>
      <c r="F48" s="1027"/>
      <c r="G48" s="1027">
        <f>E48+F48</f>
        <v>1430</v>
      </c>
      <c r="H48" s="1027"/>
      <c r="I48" s="1139">
        <f t="shared" si="27"/>
        <v>1430</v>
      </c>
      <c r="J48" s="1139"/>
      <c r="K48" s="1139">
        <f t="shared" si="28"/>
        <v>1430</v>
      </c>
      <c r="L48" s="1139"/>
      <c r="M48" s="1139">
        <f t="shared" si="29"/>
        <v>1430</v>
      </c>
      <c r="N48" s="1139">
        <v>1430</v>
      </c>
      <c r="O48" s="1439">
        <f t="shared" si="34"/>
        <v>1</v>
      </c>
      <c r="P48" s="1139">
        <f t="shared" si="30"/>
        <v>1430</v>
      </c>
      <c r="Q48" s="836"/>
      <c r="R48" s="837"/>
    </row>
    <row r="49" spans="1:20" s="53" customFormat="1" ht="18" customHeight="1" thickBot="1">
      <c r="A49" s="85" t="s">
        <v>442</v>
      </c>
      <c r="B49" s="86" t="s">
        <v>443</v>
      </c>
      <c r="C49" s="836">
        <v>74170</v>
      </c>
      <c r="D49" s="1053">
        <f>262+2790-3900+2000</f>
        <v>1152</v>
      </c>
      <c r="E49" s="1287">
        <f t="shared" si="31"/>
        <v>75322</v>
      </c>
      <c r="F49" s="1287">
        <v>152</v>
      </c>
      <c r="G49" s="1287">
        <f>E49+F49</f>
        <v>75474</v>
      </c>
      <c r="H49" s="1427">
        <v>96</v>
      </c>
      <c r="I49" s="1427">
        <f t="shared" si="27"/>
        <v>75570</v>
      </c>
      <c r="J49" s="1427">
        <v>45</v>
      </c>
      <c r="K49" s="1427">
        <f t="shared" si="28"/>
        <v>75615</v>
      </c>
      <c r="L49" s="1427">
        <v>45</v>
      </c>
      <c r="M49" s="1139">
        <v>79560</v>
      </c>
      <c r="N49" s="1139">
        <v>77075</v>
      </c>
      <c r="O49" s="1440">
        <f t="shared" si="34"/>
        <v>0.96876571141277024</v>
      </c>
      <c r="P49" s="1139">
        <f t="shared" si="30"/>
        <v>79560</v>
      </c>
      <c r="Q49" s="836">
        <v>0</v>
      </c>
      <c r="R49" s="837">
        <v>0</v>
      </c>
    </row>
    <row r="50" spans="1:20" s="81" customFormat="1" ht="21" customHeight="1" thickBot="1">
      <c r="A50" s="87"/>
      <c r="B50" s="89" t="s">
        <v>236</v>
      </c>
      <c r="C50" s="833">
        <f>SUM(C40:C47)</f>
        <v>78070</v>
      </c>
      <c r="D50" s="1048">
        <f t="shared" ref="D50:R50" si="35">SUM(D40:D47)</f>
        <v>3015</v>
      </c>
      <c r="E50" s="833">
        <f t="shared" si="35"/>
        <v>77185</v>
      </c>
      <c r="F50" s="833">
        <f t="shared" si="35"/>
        <v>280</v>
      </c>
      <c r="G50" s="1157">
        <f t="shared" si="35"/>
        <v>77465</v>
      </c>
      <c r="H50" s="1157">
        <f>SUM(H40:H47)</f>
        <v>96</v>
      </c>
      <c r="I50" s="833">
        <f t="shared" si="27"/>
        <v>77561</v>
      </c>
      <c r="J50" s="833">
        <f>SUM(J40:J47)</f>
        <v>220</v>
      </c>
      <c r="K50" s="833">
        <f>SUM(K40:K47)</f>
        <v>77781</v>
      </c>
      <c r="L50" s="833">
        <f>SUM(L40:L47)</f>
        <v>394</v>
      </c>
      <c r="M50" s="833">
        <f>SUM(M40:M47)</f>
        <v>82075</v>
      </c>
      <c r="N50" s="833">
        <f>SUM(N40:N47)</f>
        <v>79591</v>
      </c>
      <c r="O50" s="1442">
        <f t="shared" si="34"/>
        <v>0.96973499847700273</v>
      </c>
      <c r="P50" s="1157">
        <f>SUM(P40:P47)</f>
        <v>82075</v>
      </c>
      <c r="Q50" s="833">
        <f t="shared" si="35"/>
        <v>0</v>
      </c>
      <c r="R50" s="1069">
        <f t="shared" si="35"/>
        <v>0</v>
      </c>
    </row>
    <row r="51" spans="1:20" s="60" customFormat="1" ht="30.95" customHeight="1" thickBot="1">
      <c r="A51" s="98" t="s">
        <v>261</v>
      </c>
      <c r="B51" s="1773" t="s">
        <v>196</v>
      </c>
      <c r="C51" s="1774"/>
      <c r="D51" s="1774"/>
      <c r="E51" s="1774"/>
      <c r="F51" s="1774"/>
      <c r="G51" s="1774"/>
      <c r="H51" s="1774"/>
      <c r="I51" s="1774"/>
      <c r="J51" s="1774"/>
      <c r="K51" s="1774"/>
      <c r="L51" s="1774"/>
      <c r="M51" s="1774"/>
      <c r="N51" s="1774"/>
      <c r="O51" s="1774"/>
      <c r="P51" s="1774"/>
      <c r="Q51" s="1774"/>
      <c r="R51" s="1775"/>
    </row>
    <row r="52" spans="1:20" s="53" customFormat="1" ht="18.95" customHeight="1">
      <c r="A52" s="83" t="s">
        <v>368</v>
      </c>
      <c r="B52" s="84" t="s">
        <v>366</v>
      </c>
      <c r="C52" s="827">
        <v>0</v>
      </c>
      <c r="D52" s="1046">
        <v>352</v>
      </c>
      <c r="E52" s="827">
        <f>C52+D52</f>
        <v>352</v>
      </c>
      <c r="F52" s="827">
        <v>130</v>
      </c>
      <c r="G52" s="827">
        <f>E52+F52</f>
        <v>482</v>
      </c>
      <c r="H52" s="827"/>
      <c r="I52" s="827">
        <f t="shared" ref="I52:I62" si="36">G52+H52</f>
        <v>482</v>
      </c>
      <c r="J52" s="827">
        <v>263</v>
      </c>
      <c r="K52" s="827">
        <f t="shared" ref="K52:K61" si="37">I52+J52</f>
        <v>745</v>
      </c>
      <c r="L52" s="827">
        <f>255</f>
        <v>255</v>
      </c>
      <c r="M52" s="827">
        <f t="shared" ref="M52:M60" si="38">K52+L52</f>
        <v>1000</v>
      </c>
      <c r="N52" s="1046">
        <v>1263</v>
      </c>
      <c r="O52" s="1428">
        <f>N52/M52</f>
        <v>1.2629999999999999</v>
      </c>
      <c r="P52" s="827">
        <f t="shared" ref="P52:P61" si="39">M52</f>
        <v>1000</v>
      </c>
      <c r="Q52" s="827">
        <v>0</v>
      </c>
      <c r="R52" s="828">
        <v>0</v>
      </c>
    </row>
    <row r="53" spans="1:20" s="53" customFormat="1" ht="18.95" customHeight="1">
      <c r="A53" s="51" t="s">
        <v>369</v>
      </c>
      <c r="B53" s="52" t="s">
        <v>367</v>
      </c>
      <c r="C53" s="829">
        <v>0</v>
      </c>
      <c r="D53" s="1047"/>
      <c r="E53" s="827">
        <f t="shared" ref="E53:E61" si="40">C53+D53</f>
        <v>0</v>
      </c>
      <c r="F53" s="827"/>
      <c r="G53" s="827">
        <f t="shared" ref="G53:G58" si="41">E53+F53</f>
        <v>0</v>
      </c>
      <c r="H53" s="827"/>
      <c r="I53" s="827">
        <f t="shared" si="36"/>
        <v>0</v>
      </c>
      <c r="J53" s="827"/>
      <c r="K53" s="827">
        <f t="shared" si="37"/>
        <v>0</v>
      </c>
      <c r="L53" s="827"/>
      <c r="M53" s="827">
        <f t="shared" si="38"/>
        <v>0</v>
      </c>
      <c r="N53" s="827"/>
      <c r="O53" s="1428"/>
      <c r="P53" s="827">
        <f t="shared" si="39"/>
        <v>0</v>
      </c>
      <c r="Q53" s="829">
        <v>0</v>
      </c>
      <c r="R53" s="830">
        <v>0</v>
      </c>
    </row>
    <row r="54" spans="1:20" s="53" customFormat="1" ht="18.95" customHeight="1">
      <c r="A54" s="51" t="s">
        <v>370</v>
      </c>
      <c r="B54" s="52" t="s">
        <v>376</v>
      </c>
      <c r="C54" s="829">
        <v>0</v>
      </c>
      <c r="D54" s="1047"/>
      <c r="E54" s="827">
        <f t="shared" si="40"/>
        <v>0</v>
      </c>
      <c r="F54" s="827"/>
      <c r="G54" s="827">
        <f t="shared" si="41"/>
        <v>0</v>
      </c>
      <c r="H54" s="827"/>
      <c r="I54" s="827">
        <f t="shared" si="36"/>
        <v>0</v>
      </c>
      <c r="J54" s="827"/>
      <c r="K54" s="827">
        <f t="shared" si="37"/>
        <v>0</v>
      </c>
      <c r="L54" s="827"/>
      <c r="M54" s="827">
        <f t="shared" si="38"/>
        <v>0</v>
      </c>
      <c r="N54" s="827"/>
      <c r="O54" s="1428"/>
      <c r="P54" s="827">
        <f t="shared" si="39"/>
        <v>0</v>
      </c>
      <c r="Q54" s="829">
        <v>0</v>
      </c>
      <c r="R54" s="830">
        <v>0</v>
      </c>
    </row>
    <row r="55" spans="1:20" s="53" customFormat="1" ht="18.95" customHeight="1">
      <c r="A55" s="51" t="s">
        <v>371</v>
      </c>
      <c r="B55" s="52" t="s">
        <v>47</v>
      </c>
      <c r="C55" s="829">
        <v>0</v>
      </c>
      <c r="D55" s="1047"/>
      <c r="E55" s="827">
        <f t="shared" si="40"/>
        <v>0</v>
      </c>
      <c r="F55" s="827"/>
      <c r="G55" s="827">
        <f t="shared" si="41"/>
        <v>0</v>
      </c>
      <c r="H55" s="827"/>
      <c r="I55" s="827">
        <f t="shared" si="36"/>
        <v>0</v>
      </c>
      <c r="J55" s="827"/>
      <c r="K55" s="827">
        <f t="shared" si="37"/>
        <v>0</v>
      </c>
      <c r="L55" s="827">
        <v>78</v>
      </c>
      <c r="M55" s="827">
        <f t="shared" si="38"/>
        <v>78</v>
      </c>
      <c r="N55" s="1046">
        <v>79</v>
      </c>
      <c r="O55" s="1428">
        <f t="shared" ref="O55:O62" si="42">N55/M55</f>
        <v>1.0128205128205128</v>
      </c>
      <c r="P55" s="827">
        <f t="shared" si="39"/>
        <v>78</v>
      </c>
      <c r="Q55" s="829">
        <v>0</v>
      </c>
      <c r="R55" s="830">
        <v>0</v>
      </c>
    </row>
    <row r="56" spans="1:20" s="53" customFormat="1" ht="18.95" customHeight="1">
      <c r="A56" s="51" t="s">
        <v>372</v>
      </c>
      <c r="B56" s="52" t="s">
        <v>377</v>
      </c>
      <c r="C56" s="829">
        <v>0</v>
      </c>
      <c r="D56" s="1047"/>
      <c r="E56" s="827">
        <f t="shared" si="40"/>
        <v>0</v>
      </c>
      <c r="F56" s="827"/>
      <c r="G56" s="827">
        <f t="shared" si="41"/>
        <v>0</v>
      </c>
      <c r="H56" s="827"/>
      <c r="I56" s="827">
        <f t="shared" si="36"/>
        <v>0</v>
      </c>
      <c r="J56" s="827"/>
      <c r="K56" s="827">
        <f t="shared" si="37"/>
        <v>0</v>
      </c>
      <c r="L56" s="827"/>
      <c r="M56" s="827">
        <f t="shared" si="38"/>
        <v>0</v>
      </c>
      <c r="N56" s="827"/>
      <c r="O56" s="1428"/>
      <c r="P56" s="827">
        <f t="shared" si="39"/>
        <v>0</v>
      </c>
      <c r="Q56" s="829">
        <v>0</v>
      </c>
      <c r="R56" s="830">
        <v>0</v>
      </c>
    </row>
    <row r="57" spans="1:20" s="53" customFormat="1" ht="18.95" customHeight="1">
      <c r="A57" s="51" t="s">
        <v>373</v>
      </c>
      <c r="B57" s="52" t="s">
        <v>378</v>
      </c>
      <c r="C57" s="829">
        <v>0</v>
      </c>
      <c r="D57" s="1047"/>
      <c r="E57" s="827">
        <f t="shared" si="40"/>
        <v>0</v>
      </c>
      <c r="F57" s="827"/>
      <c r="G57" s="827">
        <f t="shared" si="41"/>
        <v>0</v>
      </c>
      <c r="H57" s="827"/>
      <c r="I57" s="827">
        <f t="shared" si="36"/>
        <v>0</v>
      </c>
      <c r="J57" s="827"/>
      <c r="K57" s="827">
        <f t="shared" si="37"/>
        <v>0</v>
      </c>
      <c r="L57" s="827">
        <v>150</v>
      </c>
      <c r="M57" s="827">
        <f t="shared" si="38"/>
        <v>150</v>
      </c>
      <c r="N57" s="1046">
        <v>150</v>
      </c>
      <c r="O57" s="1428">
        <f t="shared" si="42"/>
        <v>1</v>
      </c>
      <c r="P57" s="827">
        <f t="shared" si="39"/>
        <v>150</v>
      </c>
      <c r="Q57" s="829">
        <v>0</v>
      </c>
      <c r="R57" s="830">
        <v>0</v>
      </c>
    </row>
    <row r="58" spans="1:20" s="53" customFormat="1" ht="18.95" customHeight="1">
      <c r="A58" s="51" t="s">
        <v>374</v>
      </c>
      <c r="B58" s="52" t="s">
        <v>379</v>
      </c>
      <c r="C58" s="829">
        <v>0</v>
      </c>
      <c r="D58" s="1047"/>
      <c r="E58" s="827">
        <f t="shared" si="40"/>
        <v>0</v>
      </c>
      <c r="F58" s="827"/>
      <c r="G58" s="827">
        <f t="shared" si="41"/>
        <v>0</v>
      </c>
      <c r="H58" s="827"/>
      <c r="I58" s="827">
        <f t="shared" si="36"/>
        <v>0</v>
      </c>
      <c r="J58" s="827"/>
      <c r="K58" s="827">
        <f t="shared" si="37"/>
        <v>0</v>
      </c>
      <c r="L58" s="827"/>
      <c r="M58" s="827">
        <f t="shared" si="38"/>
        <v>0</v>
      </c>
      <c r="N58" s="827"/>
      <c r="O58" s="1428"/>
      <c r="P58" s="827">
        <f t="shared" si="39"/>
        <v>0</v>
      </c>
      <c r="Q58" s="829">
        <v>0</v>
      </c>
      <c r="R58" s="830">
        <v>0</v>
      </c>
    </row>
    <row r="59" spans="1:20" s="53" customFormat="1" ht="18.95" customHeight="1">
      <c r="A59" s="1029" t="s">
        <v>375</v>
      </c>
      <c r="B59" s="1030" t="s">
        <v>380</v>
      </c>
      <c r="C59" s="831">
        <f>SUM(C60:C61)</f>
        <v>109161</v>
      </c>
      <c r="D59" s="1045">
        <f t="shared" ref="D59:R59" si="43">SUM(D60:D61)</f>
        <v>212</v>
      </c>
      <c r="E59" s="831">
        <f t="shared" si="43"/>
        <v>106073</v>
      </c>
      <c r="F59" s="831">
        <f t="shared" si="43"/>
        <v>254</v>
      </c>
      <c r="G59" s="831">
        <f t="shared" si="43"/>
        <v>106327</v>
      </c>
      <c r="H59" s="1026">
        <f>H60+H61</f>
        <v>147</v>
      </c>
      <c r="I59" s="827">
        <f t="shared" si="36"/>
        <v>106474</v>
      </c>
      <c r="J59" s="827">
        <f>J60+J61</f>
        <v>66</v>
      </c>
      <c r="K59" s="827">
        <f t="shared" si="37"/>
        <v>106540</v>
      </c>
      <c r="L59" s="827">
        <f>L60+L61</f>
        <v>66</v>
      </c>
      <c r="M59" s="827">
        <f>SUM(M60:M61)</f>
        <v>109906</v>
      </c>
      <c r="N59" s="1046">
        <f>SUM(N60:N61)</f>
        <v>108943</v>
      </c>
      <c r="O59" s="1428">
        <f t="shared" si="42"/>
        <v>0.99123796698997324</v>
      </c>
      <c r="P59" s="827">
        <f t="shared" si="39"/>
        <v>109906</v>
      </c>
      <c r="Q59" s="831">
        <f t="shared" si="43"/>
        <v>0</v>
      </c>
      <c r="R59" s="832">
        <f t="shared" si="43"/>
        <v>0</v>
      </c>
    </row>
    <row r="60" spans="1:20" s="53" customFormat="1" ht="18" customHeight="1">
      <c r="A60" s="1031" t="s">
        <v>440</v>
      </c>
      <c r="B60" s="21" t="s">
        <v>441</v>
      </c>
      <c r="C60" s="836">
        <v>3300</v>
      </c>
      <c r="D60" s="1053">
        <v>1111</v>
      </c>
      <c r="E60" s="1027">
        <v>1111</v>
      </c>
      <c r="F60" s="1027"/>
      <c r="G60" s="1027">
        <f>E60+F60</f>
        <v>1111</v>
      </c>
      <c r="H60" s="1027"/>
      <c r="I60" s="1139">
        <f t="shared" si="36"/>
        <v>1111</v>
      </c>
      <c r="J60" s="1139"/>
      <c r="K60" s="1139">
        <f t="shared" si="37"/>
        <v>1111</v>
      </c>
      <c r="L60" s="1139"/>
      <c r="M60" s="1139">
        <f t="shared" si="38"/>
        <v>1111</v>
      </c>
      <c r="N60" s="1610">
        <v>1111</v>
      </c>
      <c r="O60" s="1439">
        <f t="shared" si="42"/>
        <v>1</v>
      </c>
      <c r="P60" s="1139">
        <f t="shared" si="39"/>
        <v>1111</v>
      </c>
      <c r="Q60" s="836"/>
      <c r="R60" s="837"/>
    </row>
    <row r="61" spans="1:20" s="53" customFormat="1" ht="18" customHeight="1" thickBot="1">
      <c r="A61" s="1032" t="s">
        <v>442</v>
      </c>
      <c r="B61" s="86" t="s">
        <v>443</v>
      </c>
      <c r="C61" s="836">
        <v>105861</v>
      </c>
      <c r="D61" s="1053">
        <f>391+228+2732-950-3300</f>
        <v>-899</v>
      </c>
      <c r="E61" s="1287">
        <f t="shared" si="40"/>
        <v>104962</v>
      </c>
      <c r="F61" s="1427">
        <v>254</v>
      </c>
      <c r="G61" s="1287">
        <f>E61+F61</f>
        <v>105216</v>
      </c>
      <c r="H61" s="1287">
        <v>147</v>
      </c>
      <c r="I61" s="1427">
        <f t="shared" si="36"/>
        <v>105363</v>
      </c>
      <c r="J61" s="1427">
        <v>66</v>
      </c>
      <c r="K61" s="1427">
        <f t="shared" si="37"/>
        <v>105429</v>
      </c>
      <c r="L61" s="1427">
        <v>66</v>
      </c>
      <c r="M61" s="1139">
        <v>108795</v>
      </c>
      <c r="N61" s="1610">
        <v>107832</v>
      </c>
      <c r="O61" s="1440">
        <f t="shared" si="42"/>
        <v>0.99114849027988416</v>
      </c>
      <c r="P61" s="1139">
        <f t="shared" si="39"/>
        <v>108795</v>
      </c>
      <c r="Q61" s="836">
        <v>0</v>
      </c>
      <c r="R61" s="837">
        <v>0</v>
      </c>
    </row>
    <row r="62" spans="1:20" s="54" customFormat="1" ht="21" customHeight="1" thickBot="1">
      <c r="A62" s="87"/>
      <c r="B62" s="89" t="s">
        <v>236</v>
      </c>
      <c r="C62" s="833">
        <f>SUM(C52:C59)</f>
        <v>109161</v>
      </c>
      <c r="D62" s="1048">
        <f t="shared" ref="D62:R62" si="44">SUM(D52:D59)</f>
        <v>564</v>
      </c>
      <c r="E62" s="833">
        <f t="shared" si="44"/>
        <v>106425</v>
      </c>
      <c r="F62" s="1157">
        <f t="shared" si="44"/>
        <v>384</v>
      </c>
      <c r="G62" s="1157">
        <f t="shared" si="44"/>
        <v>106809</v>
      </c>
      <c r="H62" s="1157">
        <f>SUM(H52:H59)</f>
        <v>147</v>
      </c>
      <c r="I62" s="833">
        <f t="shared" si="36"/>
        <v>106956</v>
      </c>
      <c r="J62" s="833">
        <f>SUM(J52:J59)</f>
        <v>329</v>
      </c>
      <c r="K62" s="833">
        <f>SUM(K52:K59)</f>
        <v>107285</v>
      </c>
      <c r="L62" s="833">
        <f>SUM(L52:L59)</f>
        <v>549</v>
      </c>
      <c r="M62" s="833">
        <f>SUM(M52:M59)</f>
        <v>111134</v>
      </c>
      <c r="N62" s="1048">
        <f>SUM(N52:N59)</f>
        <v>110435</v>
      </c>
      <c r="O62" s="1442">
        <f t="shared" si="42"/>
        <v>0.99371029567909008</v>
      </c>
      <c r="P62" s="833">
        <f>SUM(P52:P59)</f>
        <v>111134</v>
      </c>
      <c r="Q62" s="833">
        <f t="shared" si="44"/>
        <v>0</v>
      </c>
      <c r="R62" s="1069">
        <f t="shared" si="44"/>
        <v>0</v>
      </c>
    </row>
    <row r="63" spans="1:20" s="60" customFormat="1" ht="33" customHeight="1" thickBot="1">
      <c r="A63" s="98" t="s">
        <v>262</v>
      </c>
      <c r="B63" s="1770" t="s">
        <v>480</v>
      </c>
      <c r="C63" s="1771"/>
      <c r="D63" s="1771"/>
      <c r="E63" s="1771"/>
      <c r="F63" s="1771"/>
      <c r="G63" s="1771"/>
      <c r="H63" s="1771"/>
      <c r="I63" s="1771"/>
      <c r="J63" s="1771"/>
      <c r="K63" s="1771"/>
      <c r="L63" s="1771"/>
      <c r="M63" s="1771"/>
      <c r="N63" s="1771"/>
      <c r="O63" s="1771"/>
      <c r="P63" s="1771"/>
      <c r="Q63" s="1771"/>
      <c r="R63" s="1772"/>
    </row>
    <row r="64" spans="1:20" s="53" customFormat="1" ht="18.95" customHeight="1">
      <c r="A64" s="83" t="s">
        <v>368</v>
      </c>
      <c r="B64" s="84" t="s">
        <v>366</v>
      </c>
      <c r="C64" s="827">
        <v>0</v>
      </c>
      <c r="D64" s="1046">
        <v>349</v>
      </c>
      <c r="E64" s="827">
        <f>C64+D64</f>
        <v>349</v>
      </c>
      <c r="F64" s="827">
        <v>164</v>
      </c>
      <c r="G64" s="827">
        <f>E64+F64</f>
        <v>513</v>
      </c>
      <c r="H64" s="827"/>
      <c r="I64" s="827">
        <f t="shared" ref="I64:I74" si="45">G64+H64</f>
        <v>513</v>
      </c>
      <c r="J64" s="827">
        <v>259</v>
      </c>
      <c r="K64" s="827">
        <f t="shared" ref="K64:K73" si="46">I64+J64</f>
        <v>772</v>
      </c>
      <c r="L64" s="827">
        <f>447</f>
        <v>447</v>
      </c>
      <c r="M64" s="827">
        <f t="shared" ref="M64:M70" si="47">K64+L64</f>
        <v>1219</v>
      </c>
      <c r="N64" s="1046">
        <v>1219</v>
      </c>
      <c r="O64" s="1428">
        <f>N64/M64</f>
        <v>1</v>
      </c>
      <c r="P64" s="827">
        <f t="shared" ref="P64:P73" si="48">M64</f>
        <v>1219</v>
      </c>
      <c r="Q64" s="827">
        <v>0</v>
      </c>
      <c r="R64" s="828">
        <v>0</v>
      </c>
      <c r="T64" s="53">
        <v>1219</v>
      </c>
    </row>
    <row r="65" spans="1:20" s="53" customFormat="1" ht="18.95" customHeight="1">
      <c r="A65" s="51" t="s">
        <v>369</v>
      </c>
      <c r="B65" s="52" t="s">
        <v>367</v>
      </c>
      <c r="C65" s="829">
        <v>0</v>
      </c>
      <c r="D65" s="1047"/>
      <c r="E65" s="827">
        <f t="shared" ref="E65:E73" si="49">C65+D65</f>
        <v>0</v>
      </c>
      <c r="F65" s="827"/>
      <c r="G65" s="827">
        <f t="shared" ref="G65:G70" si="50">E65+F65</f>
        <v>0</v>
      </c>
      <c r="H65" s="827"/>
      <c r="I65" s="827">
        <f t="shared" si="45"/>
        <v>0</v>
      </c>
      <c r="J65" s="827"/>
      <c r="K65" s="827">
        <f t="shared" si="46"/>
        <v>0</v>
      </c>
      <c r="L65" s="827"/>
      <c r="M65" s="827">
        <f t="shared" si="47"/>
        <v>0</v>
      </c>
      <c r="N65" s="827"/>
      <c r="O65" s="1428"/>
      <c r="P65" s="827">
        <f t="shared" si="48"/>
        <v>0</v>
      </c>
      <c r="Q65" s="829">
        <v>0</v>
      </c>
      <c r="R65" s="830">
        <v>0</v>
      </c>
    </row>
    <row r="66" spans="1:20" s="53" customFormat="1" ht="18.95" customHeight="1">
      <c r="A66" s="51" t="s">
        <v>370</v>
      </c>
      <c r="B66" s="52" t="s">
        <v>376</v>
      </c>
      <c r="C66" s="829">
        <v>0</v>
      </c>
      <c r="D66" s="1047"/>
      <c r="E66" s="827">
        <f t="shared" si="49"/>
        <v>0</v>
      </c>
      <c r="F66" s="827"/>
      <c r="G66" s="827">
        <f t="shared" si="50"/>
        <v>0</v>
      </c>
      <c r="H66" s="827"/>
      <c r="I66" s="827">
        <f t="shared" si="45"/>
        <v>0</v>
      </c>
      <c r="J66" s="827"/>
      <c r="K66" s="827">
        <f t="shared" si="46"/>
        <v>0</v>
      </c>
      <c r="L66" s="827"/>
      <c r="M66" s="827">
        <f t="shared" si="47"/>
        <v>0</v>
      </c>
      <c r="N66" s="827"/>
      <c r="O66" s="1428"/>
      <c r="P66" s="827">
        <f t="shared" si="48"/>
        <v>0</v>
      </c>
      <c r="Q66" s="829">
        <v>0</v>
      </c>
      <c r="R66" s="830">
        <v>0</v>
      </c>
    </row>
    <row r="67" spans="1:20" s="53" customFormat="1" ht="18.95" customHeight="1">
      <c r="A67" s="51" t="s">
        <v>371</v>
      </c>
      <c r="B67" s="52" t="s">
        <v>47</v>
      </c>
      <c r="C67" s="829">
        <v>0</v>
      </c>
      <c r="D67" s="1047"/>
      <c r="E67" s="827">
        <f t="shared" si="49"/>
        <v>0</v>
      </c>
      <c r="F67" s="827"/>
      <c r="G67" s="827">
        <f t="shared" si="50"/>
        <v>0</v>
      </c>
      <c r="H67" s="827"/>
      <c r="I67" s="827">
        <f t="shared" si="45"/>
        <v>0</v>
      </c>
      <c r="J67" s="827"/>
      <c r="K67" s="827">
        <f t="shared" si="46"/>
        <v>0</v>
      </c>
      <c r="L67" s="827">
        <v>77</v>
      </c>
      <c r="M67" s="827">
        <f t="shared" si="47"/>
        <v>77</v>
      </c>
      <c r="N67" s="827">
        <v>78</v>
      </c>
      <c r="O67" s="1428">
        <f t="shared" ref="O67:O74" si="51">N67/M67</f>
        <v>1.0129870129870129</v>
      </c>
      <c r="P67" s="827">
        <f t="shared" si="48"/>
        <v>77</v>
      </c>
      <c r="Q67" s="829">
        <v>0</v>
      </c>
      <c r="R67" s="830">
        <v>0</v>
      </c>
      <c r="T67" s="53">
        <v>78</v>
      </c>
    </row>
    <row r="68" spans="1:20" s="53" customFormat="1" ht="18.95" customHeight="1">
      <c r="A68" s="51" t="s">
        <v>372</v>
      </c>
      <c r="B68" s="52" t="s">
        <v>377</v>
      </c>
      <c r="C68" s="829">
        <v>0</v>
      </c>
      <c r="D68" s="1047"/>
      <c r="E68" s="827">
        <f t="shared" si="49"/>
        <v>0</v>
      </c>
      <c r="F68" s="827"/>
      <c r="G68" s="827">
        <f t="shared" si="50"/>
        <v>0</v>
      </c>
      <c r="H68" s="827"/>
      <c r="I68" s="827">
        <f t="shared" si="45"/>
        <v>0</v>
      </c>
      <c r="J68" s="827"/>
      <c r="K68" s="827">
        <f t="shared" si="46"/>
        <v>0</v>
      </c>
      <c r="L68" s="827"/>
      <c r="M68" s="827">
        <f t="shared" si="47"/>
        <v>0</v>
      </c>
      <c r="N68" s="827"/>
      <c r="O68" s="1428"/>
      <c r="P68" s="827">
        <f t="shared" si="48"/>
        <v>0</v>
      </c>
      <c r="Q68" s="829">
        <v>0</v>
      </c>
      <c r="R68" s="830">
        <v>0</v>
      </c>
    </row>
    <row r="69" spans="1:20" s="53" customFormat="1" ht="18.95" customHeight="1">
      <c r="A69" s="51" t="s">
        <v>373</v>
      </c>
      <c r="B69" s="52" t="s">
        <v>378</v>
      </c>
      <c r="C69" s="829">
        <v>0</v>
      </c>
      <c r="D69" s="1047"/>
      <c r="E69" s="827">
        <f t="shared" si="49"/>
        <v>0</v>
      </c>
      <c r="F69" s="827"/>
      <c r="G69" s="827">
        <f t="shared" si="50"/>
        <v>0</v>
      </c>
      <c r="H69" s="827"/>
      <c r="I69" s="827">
        <f t="shared" si="45"/>
        <v>0</v>
      </c>
      <c r="J69" s="827"/>
      <c r="K69" s="827">
        <f t="shared" si="46"/>
        <v>0</v>
      </c>
      <c r="L69" s="827"/>
      <c r="M69" s="827">
        <f t="shared" si="47"/>
        <v>0</v>
      </c>
      <c r="N69" s="827"/>
      <c r="O69" s="1428"/>
      <c r="P69" s="827">
        <f t="shared" si="48"/>
        <v>0</v>
      </c>
      <c r="Q69" s="829">
        <v>0</v>
      </c>
      <c r="R69" s="830">
        <v>0</v>
      </c>
    </row>
    <row r="70" spans="1:20" s="53" customFormat="1" ht="18.95" customHeight="1">
      <c r="A70" s="51" t="s">
        <v>374</v>
      </c>
      <c r="B70" s="52" t="s">
        <v>379</v>
      </c>
      <c r="C70" s="829">
        <v>0</v>
      </c>
      <c r="D70" s="1047"/>
      <c r="E70" s="827">
        <f t="shared" si="49"/>
        <v>0</v>
      </c>
      <c r="F70" s="827"/>
      <c r="G70" s="827">
        <f t="shared" si="50"/>
        <v>0</v>
      </c>
      <c r="H70" s="827"/>
      <c r="I70" s="827">
        <f t="shared" si="45"/>
        <v>0</v>
      </c>
      <c r="J70" s="827"/>
      <c r="K70" s="827">
        <f t="shared" si="46"/>
        <v>0</v>
      </c>
      <c r="L70" s="827"/>
      <c r="M70" s="827">
        <f t="shared" si="47"/>
        <v>0</v>
      </c>
      <c r="N70" s="827"/>
      <c r="O70" s="1428"/>
      <c r="P70" s="827">
        <f t="shared" si="48"/>
        <v>0</v>
      </c>
      <c r="Q70" s="829">
        <v>0</v>
      </c>
      <c r="R70" s="830">
        <v>0</v>
      </c>
    </row>
    <row r="71" spans="1:20" s="53" customFormat="1" ht="18.95" customHeight="1">
      <c r="A71" s="1029" t="s">
        <v>375</v>
      </c>
      <c r="B71" s="1030" t="s">
        <v>380</v>
      </c>
      <c r="C71" s="831">
        <f>SUM(C72:C73)</f>
        <v>96191</v>
      </c>
      <c r="D71" s="1045">
        <f t="shared" ref="D71:R71" si="52">SUM(D72:D73)</f>
        <v>392</v>
      </c>
      <c r="E71" s="831">
        <f t="shared" si="52"/>
        <v>95583</v>
      </c>
      <c r="F71" s="831">
        <f t="shared" si="52"/>
        <v>296</v>
      </c>
      <c r="G71" s="831">
        <f t="shared" si="52"/>
        <v>95879</v>
      </c>
      <c r="H71" s="1026">
        <f>H72+H73</f>
        <v>193</v>
      </c>
      <c r="I71" s="827">
        <f t="shared" si="45"/>
        <v>96072</v>
      </c>
      <c r="J71" s="827">
        <f>J72+J73</f>
        <v>94</v>
      </c>
      <c r="K71" s="827">
        <f t="shared" si="46"/>
        <v>96166</v>
      </c>
      <c r="L71" s="827">
        <f>L72+L73</f>
        <v>94</v>
      </c>
      <c r="M71" s="827">
        <f>SUM(M72:M73)</f>
        <v>97260</v>
      </c>
      <c r="N71" s="827">
        <f>SUM(N72:N73)</f>
        <v>96186</v>
      </c>
      <c r="O71" s="1428">
        <f t="shared" si="51"/>
        <v>0.98895743368291178</v>
      </c>
      <c r="P71" s="827">
        <f t="shared" si="48"/>
        <v>97260</v>
      </c>
      <c r="Q71" s="831">
        <f t="shared" si="52"/>
        <v>0</v>
      </c>
      <c r="R71" s="832">
        <f t="shared" si="52"/>
        <v>0</v>
      </c>
      <c r="T71" s="53">
        <v>96186</v>
      </c>
    </row>
    <row r="72" spans="1:20" s="53" customFormat="1" ht="18" customHeight="1">
      <c r="A72" s="1031" t="s">
        <v>440</v>
      </c>
      <c r="B72" s="21" t="s">
        <v>441</v>
      </c>
      <c r="C72" s="836">
        <v>1000</v>
      </c>
      <c r="D72" s="1053">
        <v>965</v>
      </c>
      <c r="E72" s="1027">
        <v>965</v>
      </c>
      <c r="F72" s="1027"/>
      <c r="G72" s="1027">
        <f>E72+F72</f>
        <v>965</v>
      </c>
      <c r="H72" s="1027"/>
      <c r="I72" s="1139">
        <f t="shared" si="45"/>
        <v>965</v>
      </c>
      <c r="J72" s="1139"/>
      <c r="K72" s="1139">
        <f t="shared" si="46"/>
        <v>965</v>
      </c>
      <c r="L72" s="1139"/>
      <c r="M72" s="1139">
        <f>K72+L72</f>
        <v>965</v>
      </c>
      <c r="N72" s="1139">
        <v>965</v>
      </c>
      <c r="O72" s="1439">
        <f t="shared" si="51"/>
        <v>1</v>
      </c>
      <c r="P72" s="1139">
        <f t="shared" si="48"/>
        <v>965</v>
      </c>
      <c r="Q72" s="836"/>
      <c r="R72" s="837"/>
    </row>
    <row r="73" spans="1:20" s="53" customFormat="1" ht="18" customHeight="1" thickBot="1">
      <c r="A73" s="1032" t="s">
        <v>442</v>
      </c>
      <c r="B73" s="86" t="s">
        <v>443</v>
      </c>
      <c r="C73" s="836">
        <v>95191</v>
      </c>
      <c r="D73" s="1053">
        <f>502+666-741-1000</f>
        <v>-573</v>
      </c>
      <c r="E73" s="1287">
        <f t="shared" si="49"/>
        <v>94618</v>
      </c>
      <c r="F73" s="1287">
        <v>296</v>
      </c>
      <c r="G73" s="1287">
        <f>E73+F73</f>
        <v>94914</v>
      </c>
      <c r="H73" s="1427">
        <v>193</v>
      </c>
      <c r="I73" s="1427">
        <f t="shared" si="45"/>
        <v>95107</v>
      </c>
      <c r="J73" s="1427">
        <v>94</v>
      </c>
      <c r="K73" s="1427">
        <f t="shared" si="46"/>
        <v>95201</v>
      </c>
      <c r="L73" s="1427">
        <v>94</v>
      </c>
      <c r="M73" s="1139">
        <v>96295</v>
      </c>
      <c r="N73" s="1139">
        <v>95221</v>
      </c>
      <c r="O73" s="1440">
        <f t="shared" si="51"/>
        <v>0.98884677293732803</v>
      </c>
      <c r="P73" s="1139">
        <f t="shared" si="48"/>
        <v>96295</v>
      </c>
      <c r="Q73" s="836">
        <v>0</v>
      </c>
      <c r="R73" s="837">
        <v>0</v>
      </c>
      <c r="S73" s="1628">
        <f>M73-N73</f>
        <v>1074</v>
      </c>
    </row>
    <row r="74" spans="1:20" s="54" customFormat="1" ht="21" customHeight="1" thickBot="1">
      <c r="A74" s="87"/>
      <c r="B74" s="89" t="s">
        <v>236</v>
      </c>
      <c r="C74" s="833">
        <f>SUM(C64:C71)</f>
        <v>96191</v>
      </c>
      <c r="D74" s="1048">
        <f t="shared" ref="D74:R74" si="53">SUM(D64:D71)</f>
        <v>741</v>
      </c>
      <c r="E74" s="833">
        <f t="shared" si="53"/>
        <v>95932</v>
      </c>
      <c r="F74" s="833">
        <f t="shared" si="53"/>
        <v>460</v>
      </c>
      <c r="G74" s="1157">
        <f t="shared" si="53"/>
        <v>96392</v>
      </c>
      <c r="H74" s="1157">
        <f>SUM(H64:H71)</f>
        <v>193</v>
      </c>
      <c r="I74" s="833">
        <f t="shared" si="45"/>
        <v>96585</v>
      </c>
      <c r="J74" s="833">
        <f>SUM(J64:J71)</f>
        <v>353</v>
      </c>
      <c r="K74" s="833">
        <f>SUM(K64:K71)</f>
        <v>96938</v>
      </c>
      <c r="L74" s="833">
        <f>SUM(L64:L71)</f>
        <v>618</v>
      </c>
      <c r="M74" s="833">
        <f>SUM(M64:M71)</f>
        <v>98556</v>
      </c>
      <c r="N74" s="833">
        <f>SUM(N64:N71)</f>
        <v>97483</v>
      </c>
      <c r="O74" s="1442">
        <f t="shared" si="51"/>
        <v>0.98911278866837127</v>
      </c>
      <c r="P74" s="833">
        <f>SUM(P64:P71)</f>
        <v>98556</v>
      </c>
      <c r="Q74" s="833">
        <f t="shared" si="53"/>
        <v>0</v>
      </c>
      <c r="R74" s="1069">
        <f t="shared" si="53"/>
        <v>0</v>
      </c>
    </row>
    <row r="75" spans="1:20" s="60" customFormat="1" ht="33" customHeight="1" thickBot="1">
      <c r="A75" s="99" t="s">
        <v>263</v>
      </c>
      <c r="B75" s="1778" t="s">
        <v>449</v>
      </c>
      <c r="C75" s="1779"/>
      <c r="D75" s="1779"/>
      <c r="E75" s="1779"/>
      <c r="F75" s="1779"/>
      <c r="G75" s="1779"/>
      <c r="H75" s="1779"/>
      <c r="I75" s="1779"/>
      <c r="J75" s="1779"/>
      <c r="K75" s="1779"/>
      <c r="L75" s="1779"/>
      <c r="M75" s="1779"/>
      <c r="N75" s="1779"/>
      <c r="O75" s="1779"/>
      <c r="P75" s="1779"/>
      <c r="Q75" s="1779"/>
      <c r="R75" s="1780"/>
    </row>
    <row r="76" spans="1:20" s="53" customFormat="1" ht="18.95" customHeight="1">
      <c r="A76" s="83" t="s">
        <v>368</v>
      </c>
      <c r="B76" s="84" t="s">
        <v>366</v>
      </c>
      <c r="C76" s="827">
        <v>0</v>
      </c>
      <c r="D76" s="1046"/>
      <c r="E76" s="827">
        <f>C76+D76</f>
        <v>0</v>
      </c>
      <c r="F76" s="827">
        <f t="shared" ref="F76:F82" si="54">F88+F100+F112+F124+F136+F148</f>
        <v>9753</v>
      </c>
      <c r="G76" s="827">
        <f>E76+F76</f>
        <v>9753</v>
      </c>
      <c r="H76" s="827">
        <f>H88+H100+H112+H124+H136+H148</f>
        <v>11699</v>
      </c>
      <c r="I76" s="827">
        <f>I88+I100+I112+I124+I136+I148</f>
        <v>31942</v>
      </c>
      <c r="J76" s="827">
        <f>J88+J100+J112+J124+J136+J148</f>
        <v>6203</v>
      </c>
      <c r="K76" s="827">
        <f t="shared" ref="K76:K85" si="55">I76+J76</f>
        <v>38145</v>
      </c>
      <c r="L76" s="827">
        <f t="shared" ref="L76" si="56">L88+L100+L112+L124+L136+L148</f>
        <v>17097</v>
      </c>
      <c r="M76" s="827">
        <f t="shared" ref="M76:M85" si="57">K76+L76</f>
        <v>55242</v>
      </c>
      <c r="N76" s="827">
        <v>55242</v>
      </c>
      <c r="O76" s="1428">
        <f>N76/M76</f>
        <v>1</v>
      </c>
      <c r="P76" s="827">
        <f>M76</f>
        <v>55242</v>
      </c>
      <c r="Q76" s="827">
        <v>0</v>
      </c>
      <c r="R76" s="828">
        <v>0</v>
      </c>
    </row>
    <row r="77" spans="1:20" s="53" customFormat="1" ht="18.95" customHeight="1">
      <c r="A77" s="51" t="s">
        <v>369</v>
      </c>
      <c r="B77" s="52" t="s">
        <v>367</v>
      </c>
      <c r="C77" s="829">
        <v>0</v>
      </c>
      <c r="D77" s="1047"/>
      <c r="E77" s="827">
        <f t="shared" ref="E77:E85" si="58">C77+D77</f>
        <v>0</v>
      </c>
      <c r="F77" s="827">
        <f t="shared" si="54"/>
        <v>0</v>
      </c>
      <c r="G77" s="827">
        <f t="shared" ref="G77:G82" si="59">E77+F77</f>
        <v>0</v>
      </c>
      <c r="H77" s="827">
        <f t="shared" ref="H77:H86" si="60">H89+H101+H113+H125+H137+H149</f>
        <v>0</v>
      </c>
      <c r="I77" s="827">
        <f t="shared" ref="I77:I86" si="61">I89+I101+I113+I125+I137+I149</f>
        <v>0</v>
      </c>
      <c r="J77" s="827">
        <f t="shared" ref="J77:L82" si="62">J89+J101+J113+J125+J137+J149</f>
        <v>0</v>
      </c>
      <c r="K77" s="827">
        <f t="shared" si="55"/>
        <v>0</v>
      </c>
      <c r="L77" s="827">
        <f t="shared" ref="L77" si="63">L89+L101+L113+L125+L137+L149</f>
        <v>0</v>
      </c>
      <c r="M77" s="827">
        <f t="shared" si="57"/>
        <v>0</v>
      </c>
      <c r="N77" s="827"/>
      <c r="O77" s="1428"/>
      <c r="P77" s="827">
        <f>M77</f>
        <v>0</v>
      </c>
      <c r="Q77" s="829">
        <v>0</v>
      </c>
      <c r="R77" s="830">
        <v>0</v>
      </c>
    </row>
    <row r="78" spans="1:20" s="53" customFormat="1" ht="18.95" customHeight="1">
      <c r="A78" s="51" t="s">
        <v>370</v>
      </c>
      <c r="B78" s="52" t="s">
        <v>376</v>
      </c>
      <c r="C78" s="829">
        <v>0</v>
      </c>
      <c r="D78" s="1047"/>
      <c r="E78" s="827">
        <f t="shared" si="58"/>
        <v>0</v>
      </c>
      <c r="F78" s="827">
        <f t="shared" si="54"/>
        <v>0</v>
      </c>
      <c r="G78" s="827">
        <f t="shared" si="59"/>
        <v>0</v>
      </c>
      <c r="H78" s="827">
        <f t="shared" si="60"/>
        <v>0</v>
      </c>
      <c r="I78" s="827">
        <f t="shared" si="61"/>
        <v>0</v>
      </c>
      <c r="J78" s="827">
        <f t="shared" si="62"/>
        <v>0</v>
      </c>
      <c r="K78" s="827">
        <f t="shared" si="55"/>
        <v>0</v>
      </c>
      <c r="L78" s="827">
        <f t="shared" ref="L78" si="64">L90+L102+L114+L126+L138+L150</f>
        <v>0</v>
      </c>
      <c r="M78" s="827">
        <f t="shared" si="57"/>
        <v>0</v>
      </c>
      <c r="N78" s="827"/>
      <c r="O78" s="1428"/>
      <c r="P78" s="827">
        <f>M78</f>
        <v>0</v>
      </c>
      <c r="Q78" s="829">
        <v>0</v>
      </c>
      <c r="R78" s="830">
        <v>0</v>
      </c>
    </row>
    <row r="79" spans="1:20" s="53" customFormat="1" ht="18.95" customHeight="1">
      <c r="A79" s="51" t="s">
        <v>371</v>
      </c>
      <c r="B79" s="52" t="s">
        <v>47</v>
      </c>
      <c r="C79" s="829">
        <v>106000</v>
      </c>
      <c r="D79" s="1047">
        <v>10490</v>
      </c>
      <c r="E79" s="827">
        <f t="shared" si="58"/>
        <v>116490</v>
      </c>
      <c r="F79" s="827">
        <f t="shared" si="54"/>
        <v>2000</v>
      </c>
      <c r="G79" s="827">
        <f t="shared" si="59"/>
        <v>118490</v>
      </c>
      <c r="H79" s="827">
        <f t="shared" si="60"/>
        <v>1300</v>
      </c>
      <c r="I79" s="827">
        <f t="shared" si="61"/>
        <v>109300</v>
      </c>
      <c r="J79" s="827">
        <f t="shared" si="62"/>
        <v>3000</v>
      </c>
      <c r="K79" s="827">
        <f t="shared" si="55"/>
        <v>112300</v>
      </c>
      <c r="L79" s="827">
        <f t="shared" si="62"/>
        <v>6724</v>
      </c>
      <c r="M79" s="827">
        <f t="shared" si="57"/>
        <v>119024</v>
      </c>
      <c r="N79" s="1046">
        <v>120783</v>
      </c>
      <c r="O79" s="1428">
        <f t="shared" ref="O79:O86" si="65">N79/M79</f>
        <v>1.014778532060761</v>
      </c>
      <c r="P79" s="827">
        <f>M79-Q79</f>
        <v>109824</v>
      </c>
      <c r="Q79" s="829">
        <f>Q115</f>
        <v>9200</v>
      </c>
      <c r="R79" s="830">
        <v>0</v>
      </c>
    </row>
    <row r="80" spans="1:20" s="53" customFormat="1" ht="18.95" customHeight="1">
      <c r="A80" s="51" t="s">
        <v>372</v>
      </c>
      <c r="B80" s="52" t="s">
        <v>377</v>
      </c>
      <c r="C80" s="829">
        <v>0</v>
      </c>
      <c r="D80" s="1047"/>
      <c r="E80" s="827">
        <f t="shared" si="58"/>
        <v>0</v>
      </c>
      <c r="F80" s="827">
        <f t="shared" si="54"/>
        <v>0</v>
      </c>
      <c r="G80" s="827">
        <f t="shared" si="59"/>
        <v>0</v>
      </c>
      <c r="H80" s="827">
        <f t="shared" si="60"/>
        <v>0</v>
      </c>
      <c r="I80" s="827">
        <f t="shared" si="61"/>
        <v>0</v>
      </c>
      <c r="J80" s="827">
        <f t="shared" si="62"/>
        <v>0</v>
      </c>
      <c r="K80" s="827">
        <f t="shared" si="55"/>
        <v>0</v>
      </c>
      <c r="L80" s="827">
        <f t="shared" si="62"/>
        <v>0</v>
      </c>
      <c r="M80" s="827">
        <f t="shared" si="57"/>
        <v>0</v>
      </c>
      <c r="N80" s="827">
        <v>235</v>
      </c>
      <c r="O80" s="1428"/>
      <c r="P80" s="827">
        <f>M80</f>
        <v>0</v>
      </c>
      <c r="Q80" s="829">
        <f t="shared" ref="Q80:Q85" si="66">Q116</f>
        <v>0</v>
      </c>
      <c r="R80" s="830">
        <v>0</v>
      </c>
    </row>
    <row r="81" spans="1:18" s="53" customFormat="1" ht="18.95" customHeight="1">
      <c r="A81" s="51" t="s">
        <v>373</v>
      </c>
      <c r="B81" s="52" t="s">
        <v>378</v>
      </c>
      <c r="C81" s="829">
        <v>0</v>
      </c>
      <c r="D81" s="1047"/>
      <c r="E81" s="827">
        <f t="shared" si="58"/>
        <v>0</v>
      </c>
      <c r="F81" s="827">
        <f t="shared" si="54"/>
        <v>0</v>
      </c>
      <c r="G81" s="827">
        <f t="shared" si="59"/>
        <v>0</v>
      </c>
      <c r="H81" s="827">
        <f t="shared" si="60"/>
        <v>0</v>
      </c>
      <c r="I81" s="827">
        <f t="shared" si="61"/>
        <v>0</v>
      </c>
      <c r="J81" s="827">
        <f t="shared" si="62"/>
        <v>0</v>
      </c>
      <c r="K81" s="827">
        <f t="shared" si="55"/>
        <v>0</v>
      </c>
      <c r="L81" s="827">
        <f t="shared" si="62"/>
        <v>0</v>
      </c>
      <c r="M81" s="827">
        <f t="shared" si="57"/>
        <v>0</v>
      </c>
      <c r="N81" s="827"/>
      <c r="O81" s="1428"/>
      <c r="P81" s="827">
        <f>M81</f>
        <v>0</v>
      </c>
      <c r="Q81" s="829">
        <f t="shared" si="66"/>
        <v>0</v>
      </c>
      <c r="R81" s="830">
        <v>0</v>
      </c>
    </row>
    <row r="82" spans="1:18" s="53" customFormat="1" ht="18.95" customHeight="1">
      <c r="A82" s="51" t="s">
        <v>374</v>
      </c>
      <c r="B82" s="52" t="s">
        <v>379</v>
      </c>
      <c r="C82" s="829">
        <v>0</v>
      </c>
      <c r="D82" s="1047"/>
      <c r="E82" s="827">
        <f t="shared" si="58"/>
        <v>0</v>
      </c>
      <c r="F82" s="827">
        <f t="shared" si="54"/>
        <v>0</v>
      </c>
      <c r="G82" s="827">
        <f t="shared" si="59"/>
        <v>0</v>
      </c>
      <c r="H82" s="827">
        <f t="shared" si="60"/>
        <v>0</v>
      </c>
      <c r="I82" s="827">
        <f t="shared" si="61"/>
        <v>0</v>
      </c>
      <c r="J82" s="827">
        <f t="shared" si="62"/>
        <v>0</v>
      </c>
      <c r="K82" s="827">
        <f t="shared" si="55"/>
        <v>0</v>
      </c>
      <c r="L82" s="827">
        <f t="shared" si="62"/>
        <v>0</v>
      </c>
      <c r="M82" s="827">
        <f t="shared" si="57"/>
        <v>0</v>
      </c>
      <c r="N82" s="827"/>
      <c r="O82" s="1428"/>
      <c r="P82" s="827">
        <f>M82</f>
        <v>0</v>
      </c>
      <c r="Q82" s="829">
        <f t="shared" si="66"/>
        <v>0</v>
      </c>
      <c r="R82" s="830">
        <v>0</v>
      </c>
    </row>
    <row r="83" spans="1:18" s="53" customFormat="1" ht="18.95" customHeight="1">
      <c r="A83" s="1029" t="s">
        <v>375</v>
      </c>
      <c r="B83" s="1030" t="s">
        <v>380</v>
      </c>
      <c r="C83" s="831">
        <f>SUM(C84:C85)</f>
        <v>427761</v>
      </c>
      <c r="D83" s="1045">
        <f t="shared" ref="D83:R83" si="67">SUM(D84:D85)</f>
        <v>17174</v>
      </c>
      <c r="E83" s="831">
        <f t="shared" si="67"/>
        <v>425935</v>
      </c>
      <c r="F83" s="831">
        <f t="shared" si="67"/>
        <v>1671</v>
      </c>
      <c r="G83" s="831">
        <f t="shared" si="67"/>
        <v>427606</v>
      </c>
      <c r="H83" s="827">
        <f t="shared" si="60"/>
        <v>1058</v>
      </c>
      <c r="I83" s="827">
        <f t="shared" si="61"/>
        <v>447664</v>
      </c>
      <c r="J83" s="827">
        <f>J95+J107+J119+J131++J143+J155</f>
        <v>524</v>
      </c>
      <c r="K83" s="827">
        <f t="shared" si="55"/>
        <v>448188</v>
      </c>
      <c r="L83" s="827">
        <f>L95+L107+L119+L131++L143+L155</f>
        <v>540</v>
      </c>
      <c r="M83" s="827">
        <f t="shared" si="57"/>
        <v>448728</v>
      </c>
      <c r="N83" s="827">
        <f>SUM(N84:N85)</f>
        <v>437680</v>
      </c>
      <c r="O83" s="1428">
        <f t="shared" si="65"/>
        <v>0.97537929436094917</v>
      </c>
      <c r="P83" s="827">
        <f>M83-Q83</f>
        <v>444754</v>
      </c>
      <c r="Q83" s="829">
        <f t="shared" si="66"/>
        <v>3974</v>
      </c>
      <c r="R83" s="832">
        <f t="shared" si="67"/>
        <v>0</v>
      </c>
    </row>
    <row r="84" spans="1:18" s="53" customFormat="1" ht="18" customHeight="1">
      <c r="A84" s="1031" t="s">
        <v>440</v>
      </c>
      <c r="B84" s="21" t="s">
        <v>441</v>
      </c>
      <c r="C84" s="836">
        <v>19000</v>
      </c>
      <c r="D84" s="1053">
        <f>D96+D108+D120+D132+D144+D156</f>
        <v>18825</v>
      </c>
      <c r="E84" s="1027">
        <f>E96+E108+E120+E132+E144+E156</f>
        <v>18825</v>
      </c>
      <c r="F84" s="1027"/>
      <c r="G84" s="1027">
        <f>E84+F84</f>
        <v>18825</v>
      </c>
      <c r="H84" s="1139">
        <f t="shared" si="60"/>
        <v>0</v>
      </c>
      <c r="I84" s="1139">
        <f t="shared" si="61"/>
        <v>18825</v>
      </c>
      <c r="J84" s="1139">
        <f>J96+J108+J120+J132+J144+J156</f>
        <v>0</v>
      </c>
      <c r="K84" s="1139">
        <f t="shared" si="55"/>
        <v>18825</v>
      </c>
      <c r="L84" s="1139">
        <f>L96+L108+L120+L132+L144+L156</f>
        <v>0</v>
      </c>
      <c r="M84" s="1139">
        <f>K84+L84</f>
        <v>18825</v>
      </c>
      <c r="N84" s="1139">
        <v>18825</v>
      </c>
      <c r="O84" s="1439">
        <f t="shared" si="65"/>
        <v>1</v>
      </c>
      <c r="P84" s="1139">
        <f>M84-Q84</f>
        <v>15900</v>
      </c>
      <c r="Q84" s="834">
        <f t="shared" si="66"/>
        <v>2925</v>
      </c>
      <c r="R84" s="837"/>
    </row>
    <row r="85" spans="1:18" s="53" customFormat="1" ht="18" customHeight="1" thickBot="1">
      <c r="A85" s="1032" t="s">
        <v>442</v>
      </c>
      <c r="B85" s="86" t="s">
        <v>443</v>
      </c>
      <c r="C85" s="836">
        <v>408761</v>
      </c>
      <c r="D85" s="1053">
        <f>D97+D109+D121+D133+D145+D157</f>
        <v>-1651</v>
      </c>
      <c r="E85" s="1287">
        <f t="shared" si="58"/>
        <v>407110</v>
      </c>
      <c r="F85" s="1287">
        <f>F97+F109+F133+F145+F157</f>
        <v>1671</v>
      </c>
      <c r="G85" s="1287">
        <f>E85+F85</f>
        <v>408781</v>
      </c>
      <c r="H85" s="1427">
        <f t="shared" si="60"/>
        <v>1058</v>
      </c>
      <c r="I85" s="1427">
        <f t="shared" si="61"/>
        <v>428839</v>
      </c>
      <c r="J85" s="1427">
        <f>J97+J109+J121+J133+J145+J157</f>
        <v>524</v>
      </c>
      <c r="K85" s="1427">
        <f t="shared" si="55"/>
        <v>429363</v>
      </c>
      <c r="L85" s="1427">
        <f>L97+L109+L121+L133+L145+L157</f>
        <v>540</v>
      </c>
      <c r="M85" s="1427">
        <f t="shared" si="57"/>
        <v>429903</v>
      </c>
      <c r="N85" s="1427">
        <v>418855</v>
      </c>
      <c r="O85" s="1441">
        <f t="shared" si="65"/>
        <v>0.97430117956841422</v>
      </c>
      <c r="P85" s="1139">
        <f>M85-Q85</f>
        <v>428854</v>
      </c>
      <c r="Q85" s="836">
        <f t="shared" si="66"/>
        <v>1049</v>
      </c>
      <c r="R85" s="837">
        <v>0</v>
      </c>
    </row>
    <row r="86" spans="1:18" s="54" customFormat="1" ht="21" customHeight="1" thickBot="1">
      <c r="A86" s="87"/>
      <c r="B86" s="1435" t="s">
        <v>236</v>
      </c>
      <c r="C86" s="1433">
        <f>SUM(C76:C83)</f>
        <v>533761</v>
      </c>
      <c r="D86" s="1436">
        <f t="shared" ref="D86:R86" si="68">SUM(D76:D83)</f>
        <v>27664</v>
      </c>
      <c r="E86" s="1433">
        <f t="shared" si="68"/>
        <v>542425</v>
      </c>
      <c r="F86" s="1433">
        <f t="shared" si="68"/>
        <v>13424</v>
      </c>
      <c r="G86" s="1437">
        <f t="shared" si="68"/>
        <v>555849</v>
      </c>
      <c r="H86" s="1433">
        <f t="shared" si="60"/>
        <v>14057</v>
      </c>
      <c r="I86" s="1433">
        <f t="shared" si="61"/>
        <v>588906</v>
      </c>
      <c r="J86" s="1433">
        <f>SUM(J76:J83)</f>
        <v>9727</v>
      </c>
      <c r="K86" s="1433">
        <f>SUM(K76:K83)</f>
        <v>598633</v>
      </c>
      <c r="L86" s="1433">
        <f>SUM(L76:L83)</f>
        <v>24361</v>
      </c>
      <c r="M86" s="1433">
        <f>SUM(M76:M83)</f>
        <v>622994</v>
      </c>
      <c r="N86" s="1433">
        <f>SUM(N76:N83)</f>
        <v>613940</v>
      </c>
      <c r="O86" s="1444">
        <f t="shared" si="65"/>
        <v>0.98546695473792689</v>
      </c>
      <c r="P86" s="1433">
        <f t="shared" si="68"/>
        <v>609820</v>
      </c>
      <c r="Q86" s="1433">
        <f t="shared" si="68"/>
        <v>13174</v>
      </c>
      <c r="R86" s="1438">
        <f t="shared" si="68"/>
        <v>0</v>
      </c>
    </row>
    <row r="87" spans="1:18" s="59" customFormat="1" ht="29.1" customHeight="1">
      <c r="A87" s="76"/>
      <c r="B87" s="1762" t="s">
        <v>6</v>
      </c>
      <c r="C87" s="1776"/>
      <c r="D87" s="1776"/>
      <c r="E87" s="1776"/>
      <c r="F87" s="1776"/>
      <c r="G87" s="1776"/>
      <c r="H87" s="1776"/>
      <c r="I87" s="1776"/>
      <c r="J87" s="1776"/>
      <c r="K87" s="1776"/>
      <c r="L87" s="1776"/>
      <c r="M87" s="1776"/>
      <c r="N87" s="1776"/>
      <c r="O87" s="1776"/>
      <c r="P87" s="1776"/>
      <c r="Q87" s="1776"/>
      <c r="R87" s="1777"/>
    </row>
    <row r="88" spans="1:18" s="53" customFormat="1" ht="18.95" customHeight="1">
      <c r="A88" s="51" t="s">
        <v>368</v>
      </c>
      <c r="B88" s="80" t="s">
        <v>366</v>
      </c>
      <c r="C88" s="834">
        <v>0</v>
      </c>
      <c r="D88" s="1051"/>
      <c r="E88" s="834">
        <f>C88+D88</f>
        <v>0</v>
      </c>
      <c r="F88" s="834"/>
      <c r="G88" s="834">
        <f>E88+F88</f>
        <v>0</v>
      </c>
      <c r="H88" s="834"/>
      <c r="I88" s="827">
        <f t="shared" ref="I88:I98" si="69">G88+H88</f>
        <v>0</v>
      </c>
      <c r="J88" s="827"/>
      <c r="K88" s="827">
        <f t="shared" ref="K88:K97" si="70">I88+J88</f>
        <v>0</v>
      </c>
      <c r="L88" s="827"/>
      <c r="M88" s="827">
        <f t="shared" ref="M88:M96" si="71">K88+L88</f>
        <v>0</v>
      </c>
      <c r="N88" s="827"/>
      <c r="O88" s="1428"/>
      <c r="P88" s="834">
        <f t="shared" ref="P88:P97" si="72">M88</f>
        <v>0</v>
      </c>
      <c r="Q88" s="834">
        <v>0</v>
      </c>
      <c r="R88" s="835">
        <v>0</v>
      </c>
    </row>
    <row r="89" spans="1:18" s="53" customFormat="1" ht="18.95" customHeight="1">
      <c r="A89" s="51" t="s">
        <v>369</v>
      </c>
      <c r="B89" s="80" t="s">
        <v>367</v>
      </c>
      <c r="C89" s="834">
        <v>0</v>
      </c>
      <c r="D89" s="1051"/>
      <c r="E89" s="834">
        <f t="shared" ref="E89:E94" si="73">C89+D89</f>
        <v>0</v>
      </c>
      <c r="F89" s="834"/>
      <c r="G89" s="834">
        <f t="shared" ref="G89:G97" si="74">E89+F89</f>
        <v>0</v>
      </c>
      <c r="H89" s="834"/>
      <c r="I89" s="827">
        <f t="shared" si="69"/>
        <v>0</v>
      </c>
      <c r="J89" s="827"/>
      <c r="K89" s="827">
        <f t="shared" si="70"/>
        <v>0</v>
      </c>
      <c r="L89" s="827"/>
      <c r="M89" s="827">
        <f t="shared" si="71"/>
        <v>0</v>
      </c>
      <c r="N89" s="827"/>
      <c r="O89" s="1428"/>
      <c r="P89" s="834">
        <f t="shared" si="72"/>
        <v>0</v>
      </c>
      <c r="Q89" s="834">
        <v>0</v>
      </c>
      <c r="R89" s="835">
        <v>0</v>
      </c>
    </row>
    <row r="90" spans="1:18" s="53" customFormat="1" ht="18.95" customHeight="1">
      <c r="A90" s="51" t="s">
        <v>370</v>
      </c>
      <c r="B90" s="80" t="s">
        <v>376</v>
      </c>
      <c r="C90" s="834">
        <v>0</v>
      </c>
      <c r="D90" s="1051"/>
      <c r="E90" s="834">
        <f t="shared" si="73"/>
        <v>0</v>
      </c>
      <c r="F90" s="834"/>
      <c r="G90" s="834">
        <f t="shared" si="74"/>
        <v>0</v>
      </c>
      <c r="H90" s="834"/>
      <c r="I90" s="827">
        <f t="shared" si="69"/>
        <v>0</v>
      </c>
      <c r="J90" s="827"/>
      <c r="K90" s="827">
        <f t="shared" si="70"/>
        <v>0</v>
      </c>
      <c r="L90" s="827"/>
      <c r="M90" s="827">
        <f t="shared" si="71"/>
        <v>0</v>
      </c>
      <c r="N90" s="827"/>
      <c r="O90" s="1428"/>
      <c r="P90" s="834">
        <f t="shared" si="72"/>
        <v>0</v>
      </c>
      <c r="Q90" s="834">
        <v>0</v>
      </c>
      <c r="R90" s="835">
        <v>0</v>
      </c>
    </row>
    <row r="91" spans="1:18" s="53" customFormat="1" ht="18.95" customHeight="1">
      <c r="A91" s="51" t="s">
        <v>371</v>
      </c>
      <c r="B91" s="80" t="s">
        <v>47</v>
      </c>
      <c r="C91" s="834">
        <v>800</v>
      </c>
      <c r="D91" s="1051"/>
      <c r="E91" s="834">
        <f t="shared" si="73"/>
        <v>800</v>
      </c>
      <c r="F91" s="834">
        <v>2000</v>
      </c>
      <c r="G91" s="834">
        <f t="shared" si="74"/>
        <v>2800</v>
      </c>
      <c r="H91" s="834">
        <v>1300</v>
      </c>
      <c r="I91" s="827">
        <f t="shared" si="69"/>
        <v>4100</v>
      </c>
      <c r="J91" s="827">
        <v>3000</v>
      </c>
      <c r="K91" s="827">
        <f t="shared" si="70"/>
        <v>7100</v>
      </c>
      <c r="L91" s="827">
        <v>350</v>
      </c>
      <c r="M91" s="827">
        <f t="shared" si="71"/>
        <v>7450</v>
      </c>
      <c r="N91" s="827">
        <v>4412</v>
      </c>
      <c r="O91" s="1428">
        <f t="shared" ref="O91:O98" si="75">N91/M91</f>
        <v>0.59221476510067117</v>
      </c>
      <c r="P91" s="834">
        <f t="shared" si="72"/>
        <v>7450</v>
      </c>
      <c r="Q91" s="834">
        <v>0</v>
      </c>
      <c r="R91" s="835">
        <v>0</v>
      </c>
    </row>
    <row r="92" spans="1:18" s="53" customFormat="1" ht="18.95" customHeight="1">
      <c r="A92" s="51" t="s">
        <v>372</v>
      </c>
      <c r="B92" s="80" t="s">
        <v>377</v>
      </c>
      <c r="C92" s="834">
        <v>0</v>
      </c>
      <c r="D92" s="1051"/>
      <c r="E92" s="834">
        <f t="shared" si="73"/>
        <v>0</v>
      </c>
      <c r="F92" s="834"/>
      <c r="G92" s="834">
        <f t="shared" si="74"/>
        <v>0</v>
      </c>
      <c r="H92" s="834"/>
      <c r="I92" s="827">
        <f t="shared" si="69"/>
        <v>0</v>
      </c>
      <c r="J92" s="827"/>
      <c r="K92" s="827">
        <f t="shared" si="70"/>
        <v>0</v>
      </c>
      <c r="L92" s="827"/>
      <c r="M92" s="827">
        <f t="shared" si="71"/>
        <v>0</v>
      </c>
      <c r="N92" s="827"/>
      <c r="O92" s="1428"/>
      <c r="P92" s="834">
        <f t="shared" si="72"/>
        <v>0</v>
      </c>
      <c r="Q92" s="834">
        <v>0</v>
      </c>
      <c r="R92" s="835">
        <v>0</v>
      </c>
    </row>
    <row r="93" spans="1:18" s="53" customFormat="1" ht="18.95" customHeight="1">
      <c r="A93" s="51" t="s">
        <v>373</v>
      </c>
      <c r="B93" s="80" t="s">
        <v>378</v>
      </c>
      <c r="C93" s="834">
        <v>0</v>
      </c>
      <c r="D93" s="1051"/>
      <c r="E93" s="834">
        <f t="shared" si="73"/>
        <v>0</v>
      </c>
      <c r="F93" s="834"/>
      <c r="G93" s="834">
        <f t="shared" si="74"/>
        <v>0</v>
      </c>
      <c r="H93" s="834"/>
      <c r="I93" s="827">
        <f t="shared" si="69"/>
        <v>0</v>
      </c>
      <c r="J93" s="827"/>
      <c r="K93" s="827">
        <f t="shared" si="70"/>
        <v>0</v>
      </c>
      <c r="L93" s="827"/>
      <c r="M93" s="827">
        <f t="shared" si="71"/>
        <v>0</v>
      </c>
      <c r="N93" s="827"/>
      <c r="O93" s="1428"/>
      <c r="P93" s="834">
        <f t="shared" si="72"/>
        <v>0</v>
      </c>
      <c r="Q93" s="834">
        <v>0</v>
      </c>
      <c r="R93" s="835">
        <v>0</v>
      </c>
    </row>
    <row r="94" spans="1:18" s="53" customFormat="1" ht="18.95" customHeight="1">
      <c r="A94" s="51" t="s">
        <v>374</v>
      </c>
      <c r="B94" s="80" t="s">
        <v>379</v>
      </c>
      <c r="C94" s="834">
        <v>0</v>
      </c>
      <c r="D94" s="1051"/>
      <c r="E94" s="834">
        <f t="shared" si="73"/>
        <v>0</v>
      </c>
      <c r="F94" s="834"/>
      <c r="G94" s="834">
        <f t="shared" si="74"/>
        <v>0</v>
      </c>
      <c r="H94" s="834"/>
      <c r="I94" s="827">
        <f t="shared" si="69"/>
        <v>0</v>
      </c>
      <c r="J94" s="827"/>
      <c r="K94" s="827">
        <f t="shared" si="70"/>
        <v>0</v>
      </c>
      <c r="L94" s="827"/>
      <c r="M94" s="827">
        <f t="shared" si="71"/>
        <v>0</v>
      </c>
      <c r="N94" s="827"/>
      <c r="O94" s="1428"/>
      <c r="P94" s="834">
        <f t="shared" si="72"/>
        <v>0</v>
      </c>
      <c r="Q94" s="834">
        <v>0</v>
      </c>
      <c r="R94" s="835">
        <v>0</v>
      </c>
    </row>
    <row r="95" spans="1:18" s="53" customFormat="1" ht="18.95" customHeight="1">
      <c r="A95" s="1033" t="s">
        <v>375</v>
      </c>
      <c r="B95" s="1030" t="s">
        <v>380</v>
      </c>
      <c r="C95" s="1070">
        <f>SUM(C96:C97)</f>
        <v>119827</v>
      </c>
      <c r="D95" s="1052">
        <f t="shared" ref="D95:R95" si="76">SUM(D96:D97)</f>
        <v>-16352</v>
      </c>
      <c r="E95" s="1038">
        <f t="shared" si="76"/>
        <v>103475</v>
      </c>
      <c r="F95" s="1038">
        <f t="shared" si="76"/>
        <v>759</v>
      </c>
      <c r="G95" s="1038">
        <f t="shared" si="76"/>
        <v>104234</v>
      </c>
      <c r="H95" s="1286">
        <f>H96+H97</f>
        <v>495</v>
      </c>
      <c r="I95" s="827">
        <f t="shared" si="69"/>
        <v>104729</v>
      </c>
      <c r="J95" s="827">
        <f>J96+J97</f>
        <v>245</v>
      </c>
      <c r="K95" s="827">
        <f t="shared" si="70"/>
        <v>104974</v>
      </c>
      <c r="L95" s="827">
        <f>L96+L97</f>
        <v>254</v>
      </c>
      <c r="M95" s="827">
        <v>105678</v>
      </c>
      <c r="N95" s="827">
        <f>SUM(N96:N97)</f>
        <v>133617</v>
      </c>
      <c r="O95" s="1428">
        <f t="shared" si="75"/>
        <v>1.2643785840004542</v>
      </c>
      <c r="P95" s="834">
        <f t="shared" si="72"/>
        <v>105678</v>
      </c>
      <c r="Q95" s="1038">
        <f t="shared" si="76"/>
        <v>0</v>
      </c>
      <c r="R95" s="1071">
        <f t="shared" si="76"/>
        <v>0</v>
      </c>
    </row>
    <row r="96" spans="1:18" s="53" customFormat="1" ht="18" customHeight="1">
      <c r="A96" s="1031" t="s">
        <v>440</v>
      </c>
      <c r="B96" s="21" t="s">
        <v>441</v>
      </c>
      <c r="C96" s="834"/>
      <c r="D96" s="1051">
        <v>0</v>
      </c>
      <c r="E96" s="834">
        <v>0</v>
      </c>
      <c r="F96" s="834"/>
      <c r="G96" s="834">
        <f t="shared" si="74"/>
        <v>0</v>
      </c>
      <c r="H96" s="834"/>
      <c r="I96" s="1139">
        <f t="shared" si="69"/>
        <v>0</v>
      </c>
      <c r="J96" s="1139"/>
      <c r="K96" s="1139">
        <f t="shared" si="70"/>
        <v>0</v>
      </c>
      <c r="L96" s="1139"/>
      <c r="M96" s="1139">
        <f t="shared" si="71"/>
        <v>0</v>
      </c>
      <c r="N96" s="1139"/>
      <c r="O96" s="1439"/>
      <c r="P96" s="834">
        <f t="shared" si="72"/>
        <v>0</v>
      </c>
      <c r="Q96" s="834"/>
      <c r="R96" s="835"/>
    </row>
    <row r="97" spans="1:18" s="53" customFormat="1" ht="18" customHeight="1" thickBot="1">
      <c r="A97" s="1032" t="s">
        <v>442</v>
      </c>
      <c r="B97" s="86" t="s">
        <v>443</v>
      </c>
      <c r="C97" s="836">
        <v>119827</v>
      </c>
      <c r="D97" s="1053">
        <f>8216-19000-6746+1178</f>
        <v>-16352</v>
      </c>
      <c r="E97" s="836">
        <f>C97+D97</f>
        <v>103475</v>
      </c>
      <c r="F97" s="836">
        <f>744+15</f>
        <v>759</v>
      </c>
      <c r="G97" s="836">
        <f t="shared" si="74"/>
        <v>104234</v>
      </c>
      <c r="H97" s="836">
        <v>495</v>
      </c>
      <c r="I97" s="1427">
        <f t="shared" si="69"/>
        <v>104729</v>
      </c>
      <c r="J97" s="1427">
        <v>245</v>
      </c>
      <c r="K97" s="1427">
        <f t="shared" si="70"/>
        <v>104974</v>
      </c>
      <c r="L97" s="1427">
        <v>254</v>
      </c>
      <c r="M97" s="1139">
        <v>105678</v>
      </c>
      <c r="N97" s="1139">
        <v>133617</v>
      </c>
      <c r="O97" s="1440">
        <f t="shared" si="75"/>
        <v>1.2643785840004542</v>
      </c>
      <c r="P97" s="834">
        <f t="shared" si="72"/>
        <v>105678</v>
      </c>
      <c r="Q97" s="836"/>
      <c r="R97" s="837"/>
    </row>
    <row r="98" spans="1:18" s="54" customFormat="1" ht="21" customHeight="1" thickBot="1">
      <c r="A98" s="87"/>
      <c r="B98" s="88" t="s">
        <v>236</v>
      </c>
      <c r="C98" s="838">
        <f>SUM(C88:C95)</f>
        <v>120627</v>
      </c>
      <c r="D98" s="1054">
        <f t="shared" ref="D98:R98" si="77">SUM(D88:D95)</f>
        <v>-16352</v>
      </c>
      <c r="E98" s="838">
        <f t="shared" si="77"/>
        <v>104275</v>
      </c>
      <c r="F98" s="838">
        <f t="shared" si="77"/>
        <v>2759</v>
      </c>
      <c r="G98" s="838">
        <f t="shared" si="77"/>
        <v>107034</v>
      </c>
      <c r="H98" s="838">
        <f>SUM(H88:H95)</f>
        <v>1795</v>
      </c>
      <c r="I98" s="833">
        <f t="shared" si="69"/>
        <v>108829</v>
      </c>
      <c r="J98" s="833">
        <f>SUM(J88:J95)</f>
        <v>3245</v>
      </c>
      <c r="K98" s="833">
        <f>SUM(K88:K95)</f>
        <v>112074</v>
      </c>
      <c r="L98" s="833">
        <f>SUM(L88:L95)</f>
        <v>604</v>
      </c>
      <c r="M98" s="833">
        <f>SUM(M88:M95)</f>
        <v>113128</v>
      </c>
      <c r="N98" s="833">
        <f>SUM(N88:N95)</f>
        <v>138029</v>
      </c>
      <c r="O98" s="1442">
        <f t="shared" si="75"/>
        <v>1.2201134997524927</v>
      </c>
      <c r="P98" s="1158">
        <f>SUM(P88:P95)</f>
        <v>113128</v>
      </c>
      <c r="Q98" s="838">
        <f t="shared" si="77"/>
        <v>0</v>
      </c>
      <c r="R98" s="1074">
        <f t="shared" si="77"/>
        <v>0</v>
      </c>
    </row>
    <row r="99" spans="1:18" s="60" customFormat="1" ht="29.1" customHeight="1">
      <c r="A99" s="1072"/>
      <c r="B99" s="1762" t="s">
        <v>5</v>
      </c>
      <c r="C99" s="1763"/>
      <c r="D99" s="1763"/>
      <c r="E99" s="1763"/>
      <c r="F99" s="1763"/>
      <c r="G99" s="1763"/>
      <c r="H99" s="1763"/>
      <c r="I99" s="1763"/>
      <c r="J99" s="1763"/>
      <c r="K99" s="1763"/>
      <c r="L99" s="1763"/>
      <c r="M99" s="1763"/>
      <c r="N99" s="1763"/>
      <c r="O99" s="1763"/>
      <c r="P99" s="1763"/>
      <c r="Q99" s="1763"/>
      <c r="R99" s="1764"/>
    </row>
    <row r="100" spans="1:18" s="53" customFormat="1" ht="18.95" customHeight="1">
      <c r="A100" s="51" t="s">
        <v>368</v>
      </c>
      <c r="B100" s="80" t="s">
        <v>366</v>
      </c>
      <c r="C100" s="834">
        <v>0</v>
      </c>
      <c r="D100" s="1051"/>
      <c r="E100" s="834">
        <f>C100+D100</f>
        <v>0</v>
      </c>
      <c r="F100" s="834"/>
      <c r="G100" s="834">
        <f>E100+F100</f>
        <v>0</v>
      </c>
      <c r="H100" s="834"/>
      <c r="I100" s="827">
        <f t="shared" ref="I100:I110" si="78">G100+H100</f>
        <v>0</v>
      </c>
      <c r="J100" s="827"/>
      <c r="K100" s="827">
        <f t="shared" ref="K100:K109" si="79">I100+J100</f>
        <v>0</v>
      </c>
      <c r="L100" s="827"/>
      <c r="M100" s="827">
        <f t="shared" ref="M100:M109" si="80">K100+L100</f>
        <v>0</v>
      </c>
      <c r="N100" s="827"/>
      <c r="O100" s="1428"/>
      <c r="P100" s="834">
        <f t="shared" ref="P100:P109" si="81">M100</f>
        <v>0</v>
      </c>
      <c r="Q100" s="834">
        <v>0</v>
      </c>
      <c r="R100" s="835">
        <v>0</v>
      </c>
    </row>
    <row r="101" spans="1:18" s="53" customFormat="1" ht="18.95" customHeight="1">
      <c r="A101" s="51" t="s">
        <v>369</v>
      </c>
      <c r="B101" s="80" t="s">
        <v>367</v>
      </c>
      <c r="C101" s="834">
        <v>0</v>
      </c>
      <c r="D101" s="1051"/>
      <c r="E101" s="834">
        <f t="shared" ref="E101:E109" si="82">C101+D101</f>
        <v>0</v>
      </c>
      <c r="F101" s="834"/>
      <c r="G101" s="834">
        <f t="shared" ref="G101:G109" si="83">E101+F101</f>
        <v>0</v>
      </c>
      <c r="H101" s="834"/>
      <c r="I101" s="827">
        <f t="shared" si="78"/>
        <v>0</v>
      </c>
      <c r="J101" s="827"/>
      <c r="K101" s="827">
        <f t="shared" si="79"/>
        <v>0</v>
      </c>
      <c r="L101" s="827"/>
      <c r="M101" s="827">
        <f t="shared" si="80"/>
        <v>0</v>
      </c>
      <c r="N101" s="827"/>
      <c r="O101" s="1428"/>
      <c r="P101" s="834">
        <f t="shared" si="81"/>
        <v>0</v>
      </c>
      <c r="Q101" s="834">
        <v>0</v>
      </c>
      <c r="R101" s="835">
        <v>0</v>
      </c>
    </row>
    <row r="102" spans="1:18" s="53" customFormat="1" ht="18.95" customHeight="1">
      <c r="A102" s="51" t="s">
        <v>370</v>
      </c>
      <c r="B102" s="80" t="s">
        <v>376</v>
      </c>
      <c r="C102" s="834">
        <v>0</v>
      </c>
      <c r="D102" s="1051"/>
      <c r="E102" s="834">
        <f t="shared" si="82"/>
        <v>0</v>
      </c>
      <c r="F102" s="834"/>
      <c r="G102" s="834">
        <f t="shared" si="83"/>
        <v>0</v>
      </c>
      <c r="H102" s="834"/>
      <c r="I102" s="827">
        <f t="shared" si="78"/>
        <v>0</v>
      </c>
      <c r="J102" s="827"/>
      <c r="K102" s="827">
        <f t="shared" si="79"/>
        <v>0</v>
      </c>
      <c r="L102" s="827"/>
      <c r="M102" s="827">
        <f t="shared" si="80"/>
        <v>0</v>
      </c>
      <c r="N102" s="827"/>
      <c r="O102" s="1428"/>
      <c r="P102" s="834">
        <f t="shared" si="81"/>
        <v>0</v>
      </c>
      <c r="Q102" s="834">
        <v>0</v>
      </c>
      <c r="R102" s="835">
        <v>0</v>
      </c>
    </row>
    <row r="103" spans="1:18" s="53" customFormat="1" ht="18.95" customHeight="1">
      <c r="A103" s="51" t="s">
        <v>371</v>
      </c>
      <c r="B103" s="80" t="s">
        <v>47</v>
      </c>
      <c r="C103" s="834">
        <v>47000</v>
      </c>
      <c r="D103" s="1051"/>
      <c r="E103" s="834">
        <f t="shared" si="82"/>
        <v>47000</v>
      </c>
      <c r="F103" s="834"/>
      <c r="G103" s="834">
        <f t="shared" si="83"/>
        <v>47000</v>
      </c>
      <c r="H103" s="834"/>
      <c r="I103" s="827">
        <f t="shared" si="78"/>
        <v>47000</v>
      </c>
      <c r="J103" s="827"/>
      <c r="K103" s="827">
        <f t="shared" si="79"/>
        <v>47000</v>
      </c>
      <c r="L103" s="827">
        <v>2000</v>
      </c>
      <c r="M103" s="827">
        <f t="shared" si="80"/>
        <v>49000</v>
      </c>
      <c r="N103" s="827">
        <v>51938</v>
      </c>
      <c r="O103" s="1428">
        <f t="shared" ref="O103:O110" si="84">N103/M103</f>
        <v>1.0599591836734694</v>
      </c>
      <c r="P103" s="834">
        <f t="shared" si="81"/>
        <v>49000</v>
      </c>
      <c r="Q103" s="834">
        <v>0</v>
      </c>
      <c r="R103" s="835">
        <v>0</v>
      </c>
    </row>
    <row r="104" spans="1:18" s="53" customFormat="1" ht="18.95" customHeight="1">
      <c r="A104" s="51" t="s">
        <v>372</v>
      </c>
      <c r="B104" s="80" t="s">
        <v>377</v>
      </c>
      <c r="C104" s="834">
        <v>0</v>
      </c>
      <c r="D104" s="1051"/>
      <c r="E104" s="834">
        <f t="shared" si="82"/>
        <v>0</v>
      </c>
      <c r="F104" s="834"/>
      <c r="G104" s="834">
        <f t="shared" si="83"/>
        <v>0</v>
      </c>
      <c r="H104" s="834"/>
      <c r="I104" s="827">
        <f t="shared" si="78"/>
        <v>0</v>
      </c>
      <c r="J104" s="827"/>
      <c r="K104" s="827">
        <f t="shared" si="79"/>
        <v>0</v>
      </c>
      <c r="L104" s="827"/>
      <c r="M104" s="827">
        <f t="shared" si="80"/>
        <v>0</v>
      </c>
      <c r="N104" s="827"/>
      <c r="O104" s="1428"/>
      <c r="P104" s="834">
        <f t="shared" si="81"/>
        <v>0</v>
      </c>
      <c r="Q104" s="834">
        <v>0</v>
      </c>
      <c r="R104" s="835">
        <v>0</v>
      </c>
    </row>
    <row r="105" spans="1:18" s="53" customFormat="1" ht="18.95" customHeight="1">
      <c r="A105" s="51" t="s">
        <v>373</v>
      </c>
      <c r="B105" s="80" t="s">
        <v>378</v>
      </c>
      <c r="C105" s="834">
        <v>0</v>
      </c>
      <c r="D105" s="1051"/>
      <c r="E105" s="834">
        <f t="shared" si="82"/>
        <v>0</v>
      </c>
      <c r="F105" s="834"/>
      <c r="G105" s="834">
        <f t="shared" si="83"/>
        <v>0</v>
      </c>
      <c r="H105" s="834"/>
      <c r="I105" s="827">
        <f t="shared" si="78"/>
        <v>0</v>
      </c>
      <c r="J105" s="827"/>
      <c r="K105" s="827">
        <f t="shared" si="79"/>
        <v>0</v>
      </c>
      <c r="L105" s="827"/>
      <c r="M105" s="827">
        <f t="shared" si="80"/>
        <v>0</v>
      </c>
      <c r="N105" s="827"/>
      <c r="O105" s="1428"/>
      <c r="P105" s="834">
        <f t="shared" si="81"/>
        <v>0</v>
      </c>
      <c r="Q105" s="834">
        <v>0</v>
      </c>
      <c r="R105" s="835">
        <v>0</v>
      </c>
    </row>
    <row r="106" spans="1:18" s="53" customFormat="1" ht="18.95" customHeight="1">
      <c r="A106" s="51" t="s">
        <v>374</v>
      </c>
      <c r="B106" s="80" t="s">
        <v>379</v>
      </c>
      <c r="C106" s="1027">
        <v>0</v>
      </c>
      <c r="D106" s="1051"/>
      <c r="E106" s="834">
        <f t="shared" si="82"/>
        <v>0</v>
      </c>
      <c r="F106" s="834"/>
      <c r="G106" s="834">
        <f t="shared" si="83"/>
        <v>0</v>
      </c>
      <c r="H106" s="834"/>
      <c r="I106" s="827">
        <f t="shared" si="78"/>
        <v>0</v>
      </c>
      <c r="J106" s="827"/>
      <c r="K106" s="827">
        <f t="shared" si="79"/>
        <v>0</v>
      </c>
      <c r="L106" s="827"/>
      <c r="M106" s="827">
        <f t="shared" si="80"/>
        <v>0</v>
      </c>
      <c r="N106" s="827"/>
      <c r="O106" s="1428"/>
      <c r="P106" s="834">
        <f t="shared" si="81"/>
        <v>0</v>
      </c>
      <c r="Q106" s="834">
        <v>0</v>
      </c>
      <c r="R106" s="835">
        <v>0</v>
      </c>
    </row>
    <row r="107" spans="1:18" s="53" customFormat="1" ht="18.95" customHeight="1">
      <c r="A107" s="1029" t="s">
        <v>375</v>
      </c>
      <c r="B107" s="1034" t="s">
        <v>380</v>
      </c>
      <c r="C107" s="834">
        <f>SUM(C108:C109)</f>
        <v>40523</v>
      </c>
      <c r="D107" s="1051">
        <f t="shared" ref="D107:R107" si="85">SUM(D108:D109)</f>
        <v>2690</v>
      </c>
      <c r="E107" s="834">
        <f t="shared" si="85"/>
        <v>43213</v>
      </c>
      <c r="F107" s="834">
        <f t="shared" si="85"/>
        <v>160</v>
      </c>
      <c r="G107" s="834">
        <f t="shared" si="85"/>
        <v>43373</v>
      </c>
      <c r="H107" s="834">
        <f>H108+H109</f>
        <v>105</v>
      </c>
      <c r="I107" s="827">
        <f t="shared" si="78"/>
        <v>43478</v>
      </c>
      <c r="J107" s="827">
        <f>J108+J109</f>
        <v>52</v>
      </c>
      <c r="K107" s="827">
        <f t="shared" si="79"/>
        <v>43530</v>
      </c>
      <c r="L107" s="827">
        <f>L108+L109</f>
        <v>53</v>
      </c>
      <c r="M107" s="827">
        <f t="shared" si="80"/>
        <v>43583</v>
      </c>
      <c r="N107" s="827">
        <f>SUM(N108:N109)</f>
        <v>38297</v>
      </c>
      <c r="O107" s="1428">
        <f t="shared" si="84"/>
        <v>0.878714177546291</v>
      </c>
      <c r="P107" s="834">
        <f t="shared" si="81"/>
        <v>43583</v>
      </c>
      <c r="Q107" s="834">
        <f t="shared" si="85"/>
        <v>0</v>
      </c>
      <c r="R107" s="835">
        <f t="shared" si="85"/>
        <v>0</v>
      </c>
    </row>
    <row r="108" spans="1:18" s="53" customFormat="1" ht="18" customHeight="1">
      <c r="A108" s="1031" t="s">
        <v>440</v>
      </c>
      <c r="B108" s="21" t="s">
        <v>441</v>
      </c>
      <c r="C108" s="834"/>
      <c r="D108" s="1051">
        <v>2400</v>
      </c>
      <c r="E108" s="834">
        <v>2400</v>
      </c>
      <c r="F108" s="834"/>
      <c r="G108" s="834">
        <f t="shared" si="83"/>
        <v>2400</v>
      </c>
      <c r="H108" s="834"/>
      <c r="I108" s="1139">
        <f t="shared" si="78"/>
        <v>2400</v>
      </c>
      <c r="J108" s="1139"/>
      <c r="K108" s="1139">
        <f t="shared" si="79"/>
        <v>2400</v>
      </c>
      <c r="L108" s="1139"/>
      <c r="M108" s="1139">
        <f t="shared" si="80"/>
        <v>2400</v>
      </c>
      <c r="N108" s="1139">
        <v>2400</v>
      </c>
      <c r="O108" s="1439">
        <f t="shared" si="84"/>
        <v>1</v>
      </c>
      <c r="P108" s="834">
        <f t="shared" si="81"/>
        <v>2400</v>
      </c>
      <c r="Q108" s="834"/>
      <c r="R108" s="835"/>
    </row>
    <row r="109" spans="1:18" s="53" customFormat="1" ht="18" customHeight="1" thickBot="1">
      <c r="A109" s="1032" t="s">
        <v>442</v>
      </c>
      <c r="B109" s="86" t="s">
        <v>443</v>
      </c>
      <c r="C109" s="836">
        <v>40523</v>
      </c>
      <c r="D109" s="1053">
        <v>290</v>
      </c>
      <c r="E109" s="836">
        <f t="shared" si="82"/>
        <v>40813</v>
      </c>
      <c r="F109" s="836">
        <v>160</v>
      </c>
      <c r="G109" s="836">
        <f t="shared" si="83"/>
        <v>40973</v>
      </c>
      <c r="H109" s="836">
        <v>105</v>
      </c>
      <c r="I109" s="1427">
        <f t="shared" si="78"/>
        <v>41078</v>
      </c>
      <c r="J109" s="1427">
        <v>52</v>
      </c>
      <c r="K109" s="1427">
        <f t="shared" si="79"/>
        <v>41130</v>
      </c>
      <c r="L109" s="1427">
        <v>53</v>
      </c>
      <c r="M109" s="1139">
        <f t="shared" si="80"/>
        <v>41183</v>
      </c>
      <c r="N109" s="1139">
        <v>35897</v>
      </c>
      <c r="O109" s="1440">
        <f t="shared" si="84"/>
        <v>0.87164606755214535</v>
      </c>
      <c r="P109" s="834">
        <f t="shared" si="81"/>
        <v>41183</v>
      </c>
      <c r="Q109" s="836">
        <v>0</v>
      </c>
      <c r="R109" s="837">
        <v>0</v>
      </c>
    </row>
    <row r="110" spans="1:18" s="54" customFormat="1" ht="21" customHeight="1" thickBot="1">
      <c r="A110" s="87"/>
      <c r="B110" s="88" t="s">
        <v>236</v>
      </c>
      <c r="C110" s="838">
        <f>SUM(C100:C107)</f>
        <v>87523</v>
      </c>
      <c r="D110" s="1054">
        <f t="shared" ref="D110:R110" si="86">SUM(D100:D107)</f>
        <v>2690</v>
      </c>
      <c r="E110" s="838">
        <f t="shared" si="86"/>
        <v>90213</v>
      </c>
      <c r="F110" s="838">
        <f t="shared" si="86"/>
        <v>160</v>
      </c>
      <c r="G110" s="838">
        <f t="shared" si="86"/>
        <v>90373</v>
      </c>
      <c r="H110" s="838">
        <f>H100+H101+H102+H103+H104+H105+H106+H107</f>
        <v>105</v>
      </c>
      <c r="I110" s="833">
        <f t="shared" si="78"/>
        <v>90478</v>
      </c>
      <c r="J110" s="833">
        <f>SUM(J100:J107)</f>
        <v>52</v>
      </c>
      <c r="K110" s="833">
        <f>SUM(K100:K107)</f>
        <v>90530</v>
      </c>
      <c r="L110" s="833">
        <f>SUM(L100:L107)</f>
        <v>2053</v>
      </c>
      <c r="M110" s="833">
        <f>SUM(M100:M107)</f>
        <v>92583</v>
      </c>
      <c r="N110" s="833">
        <f>SUM(N100:N107)</f>
        <v>90235</v>
      </c>
      <c r="O110" s="1442">
        <f t="shared" si="84"/>
        <v>0.97463897259756116</v>
      </c>
      <c r="P110" s="838">
        <f>SUM(P100:P107)</f>
        <v>92583</v>
      </c>
      <c r="Q110" s="838">
        <f t="shared" si="86"/>
        <v>0</v>
      </c>
      <c r="R110" s="1074">
        <f t="shared" si="86"/>
        <v>0</v>
      </c>
    </row>
    <row r="111" spans="1:18" s="60" customFormat="1" ht="29.1" customHeight="1">
      <c r="A111" s="76"/>
      <c r="B111" s="1759" t="s">
        <v>127</v>
      </c>
      <c r="C111" s="1760"/>
      <c r="D111" s="1760"/>
      <c r="E111" s="1760"/>
      <c r="F111" s="1760"/>
      <c r="G111" s="1760"/>
      <c r="H111" s="1760"/>
      <c r="I111" s="1760"/>
      <c r="J111" s="1760"/>
      <c r="K111" s="1760"/>
      <c r="L111" s="1760"/>
      <c r="M111" s="1760"/>
      <c r="N111" s="1760"/>
      <c r="O111" s="1760"/>
      <c r="P111" s="1760"/>
      <c r="Q111" s="1760"/>
      <c r="R111" s="1761"/>
    </row>
    <row r="112" spans="1:18" s="53" customFormat="1" ht="18.95" customHeight="1">
      <c r="A112" s="51" t="s">
        <v>368</v>
      </c>
      <c r="B112" s="80" t="s">
        <v>366</v>
      </c>
      <c r="C112" s="834">
        <v>0</v>
      </c>
      <c r="D112" s="1051"/>
      <c r="E112" s="834">
        <f>C112+D112</f>
        <v>0</v>
      </c>
      <c r="F112" s="834"/>
      <c r="G112" s="834">
        <f>E112+F112</f>
        <v>0</v>
      </c>
      <c r="H112" s="834"/>
      <c r="I112" s="827">
        <f t="shared" ref="I112:I122" si="87">G112+H112</f>
        <v>0</v>
      </c>
      <c r="J112" s="827"/>
      <c r="K112" s="827">
        <f t="shared" ref="K112:K121" si="88">I112+J112</f>
        <v>0</v>
      </c>
      <c r="L112" s="827"/>
      <c r="M112" s="827">
        <f t="shared" ref="M112:M121" si="89">K112+L112</f>
        <v>0</v>
      </c>
      <c r="N112" s="827"/>
      <c r="O112" s="1428"/>
      <c r="P112" s="834">
        <f>M112</f>
        <v>0</v>
      </c>
      <c r="Q112" s="834">
        <f t="shared" ref="Q112:Q118" si="90">E112</f>
        <v>0</v>
      </c>
      <c r="R112" s="835">
        <v>0</v>
      </c>
    </row>
    <row r="113" spans="1:18" s="53" customFormat="1" ht="18.95" customHeight="1">
      <c r="A113" s="51" t="s">
        <v>369</v>
      </c>
      <c r="B113" s="80" t="s">
        <v>367</v>
      </c>
      <c r="C113" s="834">
        <v>0</v>
      </c>
      <c r="D113" s="1051"/>
      <c r="E113" s="834">
        <f t="shared" ref="E113:E121" si="91">C113+D113</f>
        <v>0</v>
      </c>
      <c r="F113" s="834"/>
      <c r="G113" s="834">
        <f t="shared" ref="G113:G121" si="92">E113+F113</f>
        <v>0</v>
      </c>
      <c r="H113" s="834"/>
      <c r="I113" s="827">
        <f t="shared" si="87"/>
        <v>0</v>
      </c>
      <c r="J113" s="827"/>
      <c r="K113" s="827">
        <f t="shared" si="88"/>
        <v>0</v>
      </c>
      <c r="L113" s="827"/>
      <c r="M113" s="827">
        <f t="shared" si="89"/>
        <v>0</v>
      </c>
      <c r="N113" s="827"/>
      <c r="O113" s="1428"/>
      <c r="P113" s="834">
        <f>M113</f>
        <v>0</v>
      </c>
      <c r="Q113" s="834">
        <f t="shared" si="90"/>
        <v>0</v>
      </c>
      <c r="R113" s="835">
        <v>0</v>
      </c>
    </row>
    <row r="114" spans="1:18" s="53" customFormat="1" ht="18.95" customHeight="1">
      <c r="A114" s="51" t="s">
        <v>370</v>
      </c>
      <c r="B114" s="80" t="s">
        <v>376</v>
      </c>
      <c r="C114" s="834">
        <v>0</v>
      </c>
      <c r="D114" s="1051"/>
      <c r="E114" s="834">
        <f t="shared" si="91"/>
        <v>0</v>
      </c>
      <c r="F114" s="834"/>
      <c r="G114" s="834">
        <f t="shared" si="92"/>
        <v>0</v>
      </c>
      <c r="H114" s="834"/>
      <c r="I114" s="827">
        <f t="shared" si="87"/>
        <v>0</v>
      </c>
      <c r="J114" s="827"/>
      <c r="K114" s="827">
        <f t="shared" si="88"/>
        <v>0</v>
      </c>
      <c r="L114" s="827"/>
      <c r="M114" s="827">
        <f t="shared" si="89"/>
        <v>0</v>
      </c>
      <c r="N114" s="827"/>
      <c r="O114" s="1428"/>
      <c r="P114" s="834">
        <f>M114</f>
        <v>0</v>
      </c>
      <c r="Q114" s="834">
        <f t="shared" si="90"/>
        <v>0</v>
      </c>
      <c r="R114" s="835">
        <v>0</v>
      </c>
    </row>
    <row r="115" spans="1:18" s="53" customFormat="1" ht="18.95" customHeight="1">
      <c r="A115" s="51" t="s">
        <v>371</v>
      </c>
      <c r="B115" s="80" t="s">
        <v>47</v>
      </c>
      <c r="C115" s="834">
        <v>9200</v>
      </c>
      <c r="D115" s="1051"/>
      <c r="E115" s="834">
        <f t="shared" si="91"/>
        <v>9200</v>
      </c>
      <c r="F115" s="834"/>
      <c r="G115" s="834">
        <f t="shared" si="92"/>
        <v>9200</v>
      </c>
      <c r="H115" s="834"/>
      <c r="I115" s="827">
        <f t="shared" si="87"/>
        <v>9200</v>
      </c>
      <c r="J115" s="827"/>
      <c r="K115" s="827">
        <f t="shared" si="88"/>
        <v>9200</v>
      </c>
      <c r="L115" s="827"/>
      <c r="M115" s="827">
        <f t="shared" si="89"/>
        <v>9200</v>
      </c>
      <c r="N115" s="827">
        <v>8500</v>
      </c>
      <c r="O115" s="1428">
        <f t="shared" ref="O115:O122" si="93">N115/M115</f>
        <v>0.92391304347826086</v>
      </c>
      <c r="P115" s="834">
        <v>0</v>
      </c>
      <c r="Q115" s="834">
        <f>M115</f>
        <v>9200</v>
      </c>
      <c r="R115" s="835">
        <v>0</v>
      </c>
    </row>
    <row r="116" spans="1:18" s="53" customFormat="1" ht="18.95" customHeight="1">
      <c r="A116" s="51" t="s">
        <v>372</v>
      </c>
      <c r="B116" s="80" t="s">
        <v>377</v>
      </c>
      <c r="C116" s="834">
        <v>0</v>
      </c>
      <c r="D116" s="1051"/>
      <c r="E116" s="834">
        <f t="shared" si="91"/>
        <v>0</v>
      </c>
      <c r="F116" s="834"/>
      <c r="G116" s="834">
        <f t="shared" si="92"/>
        <v>0</v>
      </c>
      <c r="H116" s="834"/>
      <c r="I116" s="827">
        <f t="shared" si="87"/>
        <v>0</v>
      </c>
      <c r="J116" s="827"/>
      <c r="K116" s="827">
        <f t="shared" si="88"/>
        <v>0</v>
      </c>
      <c r="L116" s="827"/>
      <c r="M116" s="827">
        <f t="shared" si="89"/>
        <v>0</v>
      </c>
      <c r="N116" s="827"/>
      <c r="O116" s="1428"/>
      <c r="P116" s="834">
        <f>M116</f>
        <v>0</v>
      </c>
      <c r="Q116" s="834">
        <f t="shared" si="90"/>
        <v>0</v>
      </c>
      <c r="R116" s="835">
        <v>0</v>
      </c>
    </row>
    <row r="117" spans="1:18" s="53" customFormat="1" ht="18.95" customHeight="1">
      <c r="A117" s="51" t="s">
        <v>373</v>
      </c>
      <c r="B117" s="80" t="s">
        <v>378</v>
      </c>
      <c r="C117" s="834">
        <v>0</v>
      </c>
      <c r="D117" s="1051"/>
      <c r="E117" s="834">
        <f t="shared" si="91"/>
        <v>0</v>
      </c>
      <c r="F117" s="834"/>
      <c r="G117" s="834">
        <f t="shared" si="92"/>
        <v>0</v>
      </c>
      <c r="H117" s="834"/>
      <c r="I117" s="827">
        <f t="shared" si="87"/>
        <v>0</v>
      </c>
      <c r="J117" s="827"/>
      <c r="K117" s="827">
        <f t="shared" si="88"/>
        <v>0</v>
      </c>
      <c r="L117" s="827"/>
      <c r="M117" s="827">
        <f t="shared" si="89"/>
        <v>0</v>
      </c>
      <c r="N117" s="827"/>
      <c r="O117" s="1428"/>
      <c r="P117" s="834">
        <f>M117</f>
        <v>0</v>
      </c>
      <c r="Q117" s="834">
        <f t="shared" si="90"/>
        <v>0</v>
      </c>
      <c r="R117" s="835">
        <v>0</v>
      </c>
    </row>
    <row r="118" spans="1:18" s="53" customFormat="1" ht="18.95" customHeight="1">
      <c r="A118" s="51" t="s">
        <v>374</v>
      </c>
      <c r="B118" s="80" t="s">
        <v>379</v>
      </c>
      <c r="C118" s="834">
        <v>0</v>
      </c>
      <c r="D118" s="1051"/>
      <c r="E118" s="834">
        <f t="shared" si="91"/>
        <v>0</v>
      </c>
      <c r="F118" s="834"/>
      <c r="G118" s="834">
        <f t="shared" si="92"/>
        <v>0</v>
      </c>
      <c r="H118" s="834"/>
      <c r="I118" s="827">
        <f t="shared" si="87"/>
        <v>0</v>
      </c>
      <c r="J118" s="827"/>
      <c r="K118" s="827">
        <f t="shared" si="88"/>
        <v>0</v>
      </c>
      <c r="L118" s="827"/>
      <c r="M118" s="827">
        <f t="shared" si="89"/>
        <v>0</v>
      </c>
      <c r="N118" s="827"/>
      <c r="O118" s="1428"/>
      <c r="P118" s="834">
        <f>M118</f>
        <v>0</v>
      </c>
      <c r="Q118" s="834">
        <f t="shared" si="90"/>
        <v>0</v>
      </c>
      <c r="R118" s="835">
        <v>0</v>
      </c>
    </row>
    <row r="119" spans="1:18" s="53" customFormat="1" ht="18.95" customHeight="1">
      <c r="A119" s="1033" t="s">
        <v>375</v>
      </c>
      <c r="B119" s="1030" t="s">
        <v>380</v>
      </c>
      <c r="C119" s="834">
        <f>SUM(C120:C121)</f>
        <v>1049</v>
      </c>
      <c r="D119" s="1051">
        <f t="shared" ref="D119:R119" si="94">SUM(D120:D121)</f>
        <v>4425</v>
      </c>
      <c r="E119" s="1051">
        <f t="shared" si="94"/>
        <v>5474</v>
      </c>
      <c r="F119" s="1051">
        <f t="shared" si="94"/>
        <v>0</v>
      </c>
      <c r="G119" s="1051">
        <f t="shared" si="94"/>
        <v>5474</v>
      </c>
      <c r="H119" s="1051"/>
      <c r="I119" s="827">
        <f t="shared" si="87"/>
        <v>5474</v>
      </c>
      <c r="J119" s="827">
        <f>J120+J121</f>
        <v>0</v>
      </c>
      <c r="K119" s="827">
        <f t="shared" si="88"/>
        <v>5474</v>
      </c>
      <c r="L119" s="827">
        <f>L120+L121</f>
        <v>0</v>
      </c>
      <c r="M119" s="827">
        <f>SUM(M120:M121)</f>
        <v>3974</v>
      </c>
      <c r="N119" s="827">
        <f>SUM(N120:N121)</f>
        <v>3974</v>
      </c>
      <c r="O119" s="1428">
        <f t="shared" si="93"/>
        <v>1</v>
      </c>
      <c r="P119" s="834">
        <f t="shared" si="94"/>
        <v>0</v>
      </c>
      <c r="Q119" s="834">
        <f>M119</f>
        <v>3974</v>
      </c>
      <c r="R119" s="835">
        <f t="shared" si="94"/>
        <v>0</v>
      </c>
    </row>
    <row r="120" spans="1:18" s="53" customFormat="1" ht="18" customHeight="1">
      <c r="A120" s="1031" t="s">
        <v>440</v>
      </c>
      <c r="B120" s="21" t="s">
        <v>441</v>
      </c>
      <c r="C120" s="834"/>
      <c r="D120" s="1051">
        <v>4425</v>
      </c>
      <c r="E120" s="834">
        <v>4425</v>
      </c>
      <c r="F120" s="834"/>
      <c r="G120" s="834">
        <f t="shared" si="92"/>
        <v>4425</v>
      </c>
      <c r="H120" s="834"/>
      <c r="I120" s="1139">
        <f t="shared" si="87"/>
        <v>4425</v>
      </c>
      <c r="J120" s="1139"/>
      <c r="K120" s="1139">
        <f t="shared" si="88"/>
        <v>4425</v>
      </c>
      <c r="L120" s="1139"/>
      <c r="M120" s="1139">
        <v>2925</v>
      </c>
      <c r="N120" s="1139">
        <v>2925</v>
      </c>
      <c r="O120" s="1439">
        <f t="shared" si="93"/>
        <v>1</v>
      </c>
      <c r="P120" s="834"/>
      <c r="Q120" s="834">
        <f>M120</f>
        <v>2925</v>
      </c>
      <c r="R120" s="835"/>
    </row>
    <row r="121" spans="1:18" s="53" customFormat="1" ht="18" customHeight="1" thickBot="1">
      <c r="A121" s="1032" t="s">
        <v>442</v>
      </c>
      <c r="B121" s="1159" t="s">
        <v>443</v>
      </c>
      <c r="C121" s="836">
        <v>1049</v>
      </c>
      <c r="D121" s="1053"/>
      <c r="E121" s="836">
        <f t="shared" si="91"/>
        <v>1049</v>
      </c>
      <c r="F121" s="836"/>
      <c r="G121" s="836">
        <f t="shared" si="92"/>
        <v>1049</v>
      </c>
      <c r="H121" s="836"/>
      <c r="I121" s="1427">
        <f t="shared" si="87"/>
        <v>1049</v>
      </c>
      <c r="J121" s="1427"/>
      <c r="K121" s="1427">
        <f t="shared" si="88"/>
        <v>1049</v>
      </c>
      <c r="L121" s="1427"/>
      <c r="M121" s="1139">
        <f t="shared" si="89"/>
        <v>1049</v>
      </c>
      <c r="N121" s="1427">
        <v>1049</v>
      </c>
      <c r="O121" s="1440">
        <f t="shared" si="93"/>
        <v>1</v>
      </c>
      <c r="P121" s="836">
        <v>0</v>
      </c>
      <c r="Q121" s="834">
        <f>M121</f>
        <v>1049</v>
      </c>
      <c r="R121" s="837">
        <v>0</v>
      </c>
    </row>
    <row r="122" spans="1:18" s="54" customFormat="1" ht="21" customHeight="1" thickBot="1">
      <c r="A122" s="87"/>
      <c r="B122" s="1430" t="s">
        <v>236</v>
      </c>
      <c r="C122" s="1431">
        <f>SUM(C112:C119)</f>
        <v>10249</v>
      </c>
      <c r="D122" s="1432">
        <f t="shared" ref="D122:R122" si="95">SUM(D112:D119)</f>
        <v>4425</v>
      </c>
      <c r="E122" s="1432">
        <f t="shared" si="95"/>
        <v>14674</v>
      </c>
      <c r="F122" s="1432">
        <f t="shared" si="95"/>
        <v>0</v>
      </c>
      <c r="G122" s="1432">
        <f t="shared" si="95"/>
        <v>14674</v>
      </c>
      <c r="H122" s="1432">
        <f>SUM(H112:H119)</f>
        <v>0</v>
      </c>
      <c r="I122" s="1433">
        <f t="shared" si="87"/>
        <v>14674</v>
      </c>
      <c r="J122" s="1433">
        <f>SUM(J112:J119)</f>
        <v>0</v>
      </c>
      <c r="K122" s="1433">
        <f>SUM(K112:K119)</f>
        <v>14674</v>
      </c>
      <c r="L122" s="1433">
        <f>SUM(L112:L119)</f>
        <v>0</v>
      </c>
      <c r="M122" s="1433">
        <f>SUM(M112:M119)</f>
        <v>13174</v>
      </c>
      <c r="N122" s="1433">
        <f>SUM(N112:N119)</f>
        <v>12474</v>
      </c>
      <c r="O122" s="1442">
        <f t="shared" si="93"/>
        <v>0.94686503719447401</v>
      </c>
      <c r="P122" s="1431">
        <f t="shared" si="95"/>
        <v>0</v>
      </c>
      <c r="Q122" s="1431">
        <f t="shared" si="95"/>
        <v>13174</v>
      </c>
      <c r="R122" s="1434">
        <f t="shared" si="95"/>
        <v>0</v>
      </c>
    </row>
    <row r="123" spans="1:18" s="59" customFormat="1" ht="29.1" customHeight="1">
      <c r="A123" s="76"/>
      <c r="B123" s="1762" t="s">
        <v>251</v>
      </c>
      <c r="C123" s="1763"/>
      <c r="D123" s="1763"/>
      <c r="E123" s="1763"/>
      <c r="F123" s="1763"/>
      <c r="G123" s="1763"/>
      <c r="H123" s="1763"/>
      <c r="I123" s="1763"/>
      <c r="J123" s="1763"/>
      <c r="K123" s="1763"/>
      <c r="L123" s="1763"/>
      <c r="M123" s="1763"/>
      <c r="N123" s="1763"/>
      <c r="O123" s="1763"/>
      <c r="P123" s="1763"/>
      <c r="Q123" s="1763"/>
      <c r="R123" s="1764"/>
    </row>
    <row r="124" spans="1:18" s="53" customFormat="1" ht="18.95" customHeight="1">
      <c r="A124" s="51" t="s">
        <v>368</v>
      </c>
      <c r="B124" s="80" t="s">
        <v>366</v>
      </c>
      <c r="C124" s="834">
        <v>0</v>
      </c>
      <c r="D124" s="1051">
        <v>10490</v>
      </c>
      <c r="E124" s="834">
        <f xml:space="preserve"> C124+D124</f>
        <v>10490</v>
      </c>
      <c r="F124" s="834">
        <v>9753</v>
      </c>
      <c r="G124" s="834">
        <f>E124+F124</f>
        <v>20243</v>
      </c>
      <c r="H124" s="834">
        <v>11699</v>
      </c>
      <c r="I124" s="827">
        <f t="shared" ref="I124:I134" si="96">G124+H124</f>
        <v>31942</v>
      </c>
      <c r="J124" s="827">
        <v>6203</v>
      </c>
      <c r="K124" s="827">
        <f t="shared" ref="K124:K133" si="97">I124+J124</f>
        <v>38145</v>
      </c>
      <c r="L124" s="827">
        <f>17097</f>
        <v>17097</v>
      </c>
      <c r="M124" s="827">
        <f t="shared" ref="M124:M132" si="98">K124+L124</f>
        <v>55242</v>
      </c>
      <c r="N124" s="827">
        <v>55242</v>
      </c>
      <c r="O124" s="1428">
        <f>N124/M124</f>
        <v>1</v>
      </c>
      <c r="P124" s="834">
        <f t="shared" ref="P124:P133" si="99">M124</f>
        <v>55242</v>
      </c>
      <c r="Q124" s="834">
        <v>0</v>
      </c>
      <c r="R124" s="835">
        <v>0</v>
      </c>
    </row>
    <row r="125" spans="1:18" s="53" customFormat="1" ht="18.95" customHeight="1">
      <c r="A125" s="51" t="s">
        <v>369</v>
      </c>
      <c r="B125" s="80" t="s">
        <v>367</v>
      </c>
      <c r="C125" s="834">
        <v>0</v>
      </c>
      <c r="D125" s="1051"/>
      <c r="E125" s="834">
        <f t="shared" ref="E125:E133" si="100" xml:space="preserve"> C125+D125</f>
        <v>0</v>
      </c>
      <c r="F125" s="834"/>
      <c r="G125" s="834">
        <f t="shared" ref="G125:G133" si="101">E125+F125</f>
        <v>0</v>
      </c>
      <c r="H125" s="834"/>
      <c r="I125" s="827">
        <f t="shared" si="96"/>
        <v>0</v>
      </c>
      <c r="J125" s="827"/>
      <c r="K125" s="827">
        <f t="shared" si="97"/>
        <v>0</v>
      </c>
      <c r="L125" s="827"/>
      <c r="M125" s="827">
        <f t="shared" si="98"/>
        <v>0</v>
      </c>
      <c r="N125" s="827"/>
      <c r="O125" s="1428"/>
      <c r="P125" s="834">
        <f t="shared" si="99"/>
        <v>0</v>
      </c>
      <c r="Q125" s="834">
        <v>0</v>
      </c>
      <c r="R125" s="835">
        <v>0</v>
      </c>
    </row>
    <row r="126" spans="1:18" s="53" customFormat="1" ht="18.95" customHeight="1">
      <c r="A126" s="51" t="s">
        <v>370</v>
      </c>
      <c r="B126" s="80" t="s">
        <v>376</v>
      </c>
      <c r="C126" s="834">
        <v>0</v>
      </c>
      <c r="D126" s="1051"/>
      <c r="E126" s="834">
        <f t="shared" si="100"/>
        <v>0</v>
      </c>
      <c r="F126" s="834"/>
      <c r="G126" s="834">
        <f t="shared" si="101"/>
        <v>0</v>
      </c>
      <c r="H126" s="834"/>
      <c r="I126" s="827">
        <f t="shared" si="96"/>
        <v>0</v>
      </c>
      <c r="J126" s="827"/>
      <c r="K126" s="827">
        <f t="shared" si="97"/>
        <v>0</v>
      </c>
      <c r="L126" s="827"/>
      <c r="M126" s="827">
        <f t="shared" si="98"/>
        <v>0</v>
      </c>
      <c r="N126" s="827"/>
      <c r="O126" s="1428"/>
      <c r="P126" s="834">
        <f t="shared" si="99"/>
        <v>0</v>
      </c>
      <c r="Q126" s="834">
        <v>0</v>
      </c>
      <c r="R126" s="835">
        <v>0</v>
      </c>
    </row>
    <row r="127" spans="1:18" s="53" customFormat="1" ht="18.95" customHeight="1">
      <c r="A127" s="51" t="s">
        <v>371</v>
      </c>
      <c r="B127" s="80" t="s">
        <v>47</v>
      </c>
      <c r="C127" s="834">
        <v>0</v>
      </c>
      <c r="D127" s="1051"/>
      <c r="E127" s="834">
        <f t="shared" si="100"/>
        <v>0</v>
      </c>
      <c r="F127" s="834"/>
      <c r="G127" s="834">
        <f t="shared" si="101"/>
        <v>0</v>
      </c>
      <c r="H127" s="834"/>
      <c r="I127" s="827">
        <f t="shared" si="96"/>
        <v>0</v>
      </c>
      <c r="J127" s="827"/>
      <c r="K127" s="827">
        <f t="shared" si="97"/>
        <v>0</v>
      </c>
      <c r="L127" s="827"/>
      <c r="M127" s="827">
        <f t="shared" si="98"/>
        <v>0</v>
      </c>
      <c r="N127" s="827">
        <v>79</v>
      </c>
      <c r="O127" s="1428"/>
      <c r="P127" s="834">
        <f t="shared" si="99"/>
        <v>0</v>
      </c>
      <c r="Q127" s="834">
        <v>0</v>
      </c>
      <c r="R127" s="835">
        <v>0</v>
      </c>
    </row>
    <row r="128" spans="1:18" s="53" customFormat="1" ht="18.95" customHeight="1">
      <c r="A128" s="51" t="s">
        <v>372</v>
      </c>
      <c r="B128" s="80" t="s">
        <v>377</v>
      </c>
      <c r="C128" s="834">
        <v>0</v>
      </c>
      <c r="D128" s="1051"/>
      <c r="E128" s="834">
        <f t="shared" si="100"/>
        <v>0</v>
      </c>
      <c r="F128" s="834"/>
      <c r="G128" s="834">
        <f t="shared" si="101"/>
        <v>0</v>
      </c>
      <c r="H128" s="834"/>
      <c r="I128" s="827">
        <f t="shared" si="96"/>
        <v>0</v>
      </c>
      <c r="J128" s="827"/>
      <c r="K128" s="827">
        <f t="shared" si="97"/>
        <v>0</v>
      </c>
      <c r="L128" s="827"/>
      <c r="M128" s="827">
        <f t="shared" si="98"/>
        <v>0</v>
      </c>
      <c r="N128" s="827"/>
      <c r="O128" s="1428"/>
      <c r="P128" s="834">
        <f t="shared" si="99"/>
        <v>0</v>
      </c>
      <c r="Q128" s="834">
        <v>0</v>
      </c>
      <c r="R128" s="835">
        <v>0</v>
      </c>
    </row>
    <row r="129" spans="1:18" s="53" customFormat="1" ht="18.95" customHeight="1">
      <c r="A129" s="51" t="s">
        <v>373</v>
      </c>
      <c r="B129" s="80" t="s">
        <v>378</v>
      </c>
      <c r="C129" s="834">
        <v>0</v>
      </c>
      <c r="D129" s="1051"/>
      <c r="E129" s="834">
        <f t="shared" si="100"/>
        <v>0</v>
      </c>
      <c r="F129" s="834"/>
      <c r="G129" s="834">
        <f t="shared" si="101"/>
        <v>0</v>
      </c>
      <c r="H129" s="834"/>
      <c r="I129" s="827">
        <f t="shared" si="96"/>
        <v>0</v>
      </c>
      <c r="J129" s="827"/>
      <c r="K129" s="827">
        <f t="shared" si="97"/>
        <v>0</v>
      </c>
      <c r="L129" s="827"/>
      <c r="M129" s="827">
        <f t="shared" si="98"/>
        <v>0</v>
      </c>
      <c r="N129" s="827"/>
      <c r="O129" s="1428"/>
      <c r="P129" s="834">
        <f t="shared" si="99"/>
        <v>0</v>
      </c>
      <c r="Q129" s="834">
        <v>0</v>
      </c>
      <c r="R129" s="835">
        <v>0</v>
      </c>
    </row>
    <row r="130" spans="1:18" s="53" customFormat="1" ht="18.95" customHeight="1">
      <c r="A130" s="51" t="s">
        <v>374</v>
      </c>
      <c r="B130" s="80" t="s">
        <v>379</v>
      </c>
      <c r="C130" s="834">
        <v>0</v>
      </c>
      <c r="D130" s="1051"/>
      <c r="E130" s="834">
        <f t="shared" si="100"/>
        <v>0</v>
      </c>
      <c r="F130" s="834"/>
      <c r="G130" s="834">
        <f t="shared" si="101"/>
        <v>0</v>
      </c>
      <c r="H130" s="834"/>
      <c r="I130" s="827">
        <f t="shared" si="96"/>
        <v>0</v>
      </c>
      <c r="J130" s="827"/>
      <c r="K130" s="827">
        <f t="shared" si="97"/>
        <v>0</v>
      </c>
      <c r="L130" s="827"/>
      <c r="M130" s="827">
        <f t="shared" si="98"/>
        <v>0</v>
      </c>
      <c r="N130" s="827"/>
      <c r="O130" s="1428"/>
      <c r="P130" s="834">
        <f t="shared" si="99"/>
        <v>0</v>
      </c>
      <c r="Q130" s="834">
        <v>0</v>
      </c>
      <c r="R130" s="835">
        <v>0</v>
      </c>
    </row>
    <row r="131" spans="1:18" s="53" customFormat="1" ht="18.95" customHeight="1">
      <c r="A131" s="1033" t="s">
        <v>375</v>
      </c>
      <c r="B131" s="1030" t="s">
        <v>380</v>
      </c>
      <c r="C131" s="834">
        <f>SUM(C132:C133)</f>
        <v>42230</v>
      </c>
      <c r="D131" s="1051">
        <f t="shared" ref="D131:R131" si="102">SUM(D132:D133)</f>
        <v>9571</v>
      </c>
      <c r="E131" s="834">
        <f t="shared" si="102"/>
        <v>51801</v>
      </c>
      <c r="F131" s="834">
        <f t="shared" si="102"/>
        <v>23</v>
      </c>
      <c r="G131" s="834">
        <f t="shared" si="102"/>
        <v>51824</v>
      </c>
      <c r="H131" s="834">
        <f>H132+H133</f>
        <v>13</v>
      </c>
      <c r="I131" s="827">
        <f t="shared" si="96"/>
        <v>51837</v>
      </c>
      <c r="J131" s="827">
        <f>J132+J133</f>
        <v>7</v>
      </c>
      <c r="K131" s="827">
        <f t="shared" si="97"/>
        <v>51844</v>
      </c>
      <c r="L131" s="827">
        <f>L132+L133</f>
        <v>7</v>
      </c>
      <c r="M131" s="827">
        <v>51401</v>
      </c>
      <c r="N131" s="827">
        <f>SUM(N132:N133)</f>
        <v>37762</v>
      </c>
      <c r="O131" s="1428">
        <f t="shared" ref="O131:O134" si="103">N131/M131</f>
        <v>0.73465496780218287</v>
      </c>
      <c r="P131" s="834">
        <f t="shared" si="99"/>
        <v>51401</v>
      </c>
      <c r="Q131" s="834">
        <f t="shared" si="102"/>
        <v>0</v>
      </c>
      <c r="R131" s="835">
        <f t="shared" si="102"/>
        <v>0</v>
      </c>
    </row>
    <row r="132" spans="1:18" s="53" customFormat="1" ht="18" customHeight="1">
      <c r="A132" s="1031" t="s">
        <v>440</v>
      </c>
      <c r="B132" s="21" t="s">
        <v>441</v>
      </c>
      <c r="C132" s="834"/>
      <c r="D132" s="1051">
        <v>9500</v>
      </c>
      <c r="E132" s="834">
        <v>9500</v>
      </c>
      <c r="F132" s="834"/>
      <c r="G132" s="834">
        <f t="shared" si="101"/>
        <v>9500</v>
      </c>
      <c r="H132" s="834"/>
      <c r="I132" s="1139">
        <f t="shared" si="96"/>
        <v>9500</v>
      </c>
      <c r="J132" s="1139"/>
      <c r="K132" s="1139">
        <f t="shared" si="97"/>
        <v>9500</v>
      </c>
      <c r="L132" s="1139"/>
      <c r="M132" s="1139">
        <f t="shared" si="98"/>
        <v>9500</v>
      </c>
      <c r="N132" s="1139">
        <v>9500</v>
      </c>
      <c r="O132" s="1439">
        <f t="shared" si="103"/>
        <v>1</v>
      </c>
      <c r="P132" s="834">
        <f t="shared" si="99"/>
        <v>9500</v>
      </c>
      <c r="Q132" s="834"/>
      <c r="R132" s="835"/>
    </row>
    <row r="133" spans="1:18" s="53" customFormat="1" ht="18" customHeight="1" thickBot="1">
      <c r="A133" s="1032" t="s">
        <v>442</v>
      </c>
      <c r="B133" s="86" t="s">
        <v>443</v>
      </c>
      <c r="C133" s="836">
        <v>42230</v>
      </c>
      <c r="D133" s="1053">
        <v>71</v>
      </c>
      <c r="E133" s="836">
        <f t="shared" si="100"/>
        <v>42301</v>
      </c>
      <c r="F133" s="836">
        <v>23</v>
      </c>
      <c r="G133" s="836">
        <f t="shared" si="101"/>
        <v>42324</v>
      </c>
      <c r="H133" s="836">
        <v>13</v>
      </c>
      <c r="I133" s="1427">
        <f t="shared" si="96"/>
        <v>42337</v>
      </c>
      <c r="J133" s="1427">
        <v>7</v>
      </c>
      <c r="K133" s="1427">
        <f t="shared" si="97"/>
        <v>42344</v>
      </c>
      <c r="L133" s="1427">
        <v>7</v>
      </c>
      <c r="M133" s="1139">
        <v>41901</v>
      </c>
      <c r="N133" s="1139">
        <v>28262</v>
      </c>
      <c r="O133" s="1440">
        <f t="shared" si="103"/>
        <v>0.67449464213264598</v>
      </c>
      <c r="P133" s="834">
        <f t="shared" si="99"/>
        <v>41901</v>
      </c>
      <c r="Q133" s="836">
        <v>0</v>
      </c>
      <c r="R133" s="837">
        <v>0</v>
      </c>
    </row>
    <row r="134" spans="1:18" s="54" customFormat="1" ht="21" customHeight="1" thickBot="1">
      <c r="A134" s="87"/>
      <c r="B134" s="88" t="s">
        <v>236</v>
      </c>
      <c r="C134" s="838">
        <f>SUM(C124:C131)</f>
        <v>42230</v>
      </c>
      <c r="D134" s="1054">
        <f t="shared" ref="D134:R134" si="104">SUM(D124:D131)</f>
        <v>20061</v>
      </c>
      <c r="E134" s="838">
        <f t="shared" si="104"/>
        <v>62291</v>
      </c>
      <c r="F134" s="838">
        <f t="shared" si="104"/>
        <v>9776</v>
      </c>
      <c r="G134" s="838">
        <f t="shared" si="104"/>
        <v>72067</v>
      </c>
      <c r="H134" s="838">
        <f>SUM(H124:H131)</f>
        <v>11712</v>
      </c>
      <c r="I134" s="833">
        <f t="shared" si="96"/>
        <v>83779</v>
      </c>
      <c r="J134" s="833">
        <f>SUM(J124:J131)</f>
        <v>6210</v>
      </c>
      <c r="K134" s="833">
        <f>SUM(K124:K131)</f>
        <v>89989</v>
      </c>
      <c r="L134" s="833">
        <f>SUM(L124:L131)</f>
        <v>17104</v>
      </c>
      <c r="M134" s="833">
        <f>SUM(M124:M131)</f>
        <v>106643</v>
      </c>
      <c r="N134" s="833">
        <f>SUM(N124:N131)</f>
        <v>93083</v>
      </c>
      <c r="O134" s="1442">
        <f t="shared" si="103"/>
        <v>0.87284678788106107</v>
      </c>
      <c r="P134" s="838">
        <f t="shared" si="104"/>
        <v>106643</v>
      </c>
      <c r="Q134" s="838">
        <f t="shared" si="104"/>
        <v>0</v>
      </c>
      <c r="R134" s="1074">
        <f t="shared" si="104"/>
        <v>0</v>
      </c>
    </row>
    <row r="135" spans="1:18" s="60" customFormat="1" ht="29.1" customHeight="1">
      <c r="A135" s="1160"/>
      <c r="B135" s="1759" t="s">
        <v>280</v>
      </c>
      <c r="C135" s="1760"/>
      <c r="D135" s="1760"/>
      <c r="E135" s="1760"/>
      <c r="F135" s="1760"/>
      <c r="G135" s="1760"/>
      <c r="H135" s="1760"/>
      <c r="I135" s="1760"/>
      <c r="J135" s="1760"/>
      <c r="K135" s="1760"/>
      <c r="L135" s="1760"/>
      <c r="M135" s="1760"/>
      <c r="N135" s="1760"/>
      <c r="O135" s="1760"/>
      <c r="P135" s="1760"/>
      <c r="Q135" s="1760"/>
      <c r="R135" s="1761"/>
    </row>
    <row r="136" spans="1:18" s="53" customFormat="1" ht="18.95" customHeight="1">
      <c r="A136" s="51" t="s">
        <v>368</v>
      </c>
      <c r="B136" s="80" t="s">
        <v>366</v>
      </c>
      <c r="C136" s="834">
        <v>0</v>
      </c>
      <c r="D136" s="1051"/>
      <c r="E136" s="834">
        <f>C136+D136</f>
        <v>0</v>
      </c>
      <c r="F136" s="834"/>
      <c r="G136" s="834">
        <f>E136+F136</f>
        <v>0</v>
      </c>
      <c r="H136" s="834"/>
      <c r="I136" s="827">
        <f t="shared" ref="I136:I146" si="105">G136+H136</f>
        <v>0</v>
      </c>
      <c r="J136" s="827"/>
      <c r="K136" s="827">
        <f t="shared" ref="K136:K145" si="106">I136+J136</f>
        <v>0</v>
      </c>
      <c r="L136" s="827"/>
      <c r="M136" s="827">
        <f t="shared" ref="M136:M144" si="107">K136+L136</f>
        <v>0</v>
      </c>
      <c r="N136" s="827"/>
      <c r="O136" s="1428"/>
      <c r="P136" s="834">
        <f t="shared" ref="P136:P145" si="108">M136</f>
        <v>0</v>
      </c>
      <c r="Q136" s="834">
        <v>0</v>
      </c>
      <c r="R136" s="835">
        <v>0</v>
      </c>
    </row>
    <row r="137" spans="1:18" s="53" customFormat="1" ht="18.95" customHeight="1">
      <c r="A137" s="51" t="s">
        <v>369</v>
      </c>
      <c r="B137" s="80" t="s">
        <v>367</v>
      </c>
      <c r="C137" s="834">
        <v>0</v>
      </c>
      <c r="D137" s="1051"/>
      <c r="E137" s="834">
        <f t="shared" ref="E137:E145" si="109">C137+D137</f>
        <v>0</v>
      </c>
      <c r="F137" s="834"/>
      <c r="G137" s="834">
        <f t="shared" ref="G137:G145" si="110">E137+F137</f>
        <v>0</v>
      </c>
      <c r="H137" s="834"/>
      <c r="I137" s="827">
        <f t="shared" si="105"/>
        <v>0</v>
      </c>
      <c r="J137" s="827"/>
      <c r="K137" s="827">
        <f t="shared" si="106"/>
        <v>0</v>
      </c>
      <c r="L137" s="827"/>
      <c r="M137" s="827">
        <f t="shared" si="107"/>
        <v>0</v>
      </c>
      <c r="N137" s="827"/>
      <c r="O137" s="1428"/>
      <c r="P137" s="834">
        <f t="shared" si="108"/>
        <v>0</v>
      </c>
      <c r="Q137" s="834">
        <v>0</v>
      </c>
      <c r="R137" s="835">
        <v>0</v>
      </c>
    </row>
    <row r="138" spans="1:18" s="53" customFormat="1" ht="18.95" customHeight="1">
      <c r="A138" s="51" t="s">
        <v>370</v>
      </c>
      <c r="B138" s="80" t="s">
        <v>376</v>
      </c>
      <c r="C138" s="834">
        <v>0</v>
      </c>
      <c r="D138" s="1051"/>
      <c r="E138" s="834">
        <f t="shared" si="109"/>
        <v>0</v>
      </c>
      <c r="F138" s="834"/>
      <c r="G138" s="834">
        <f t="shared" si="110"/>
        <v>0</v>
      </c>
      <c r="H138" s="834"/>
      <c r="I138" s="827">
        <f t="shared" si="105"/>
        <v>0</v>
      </c>
      <c r="J138" s="827"/>
      <c r="K138" s="827">
        <f t="shared" si="106"/>
        <v>0</v>
      </c>
      <c r="L138" s="827"/>
      <c r="M138" s="827">
        <f t="shared" si="107"/>
        <v>0</v>
      </c>
      <c r="N138" s="827"/>
      <c r="O138" s="1428"/>
      <c r="P138" s="834">
        <f t="shared" si="108"/>
        <v>0</v>
      </c>
      <c r="Q138" s="834">
        <v>0</v>
      </c>
      <c r="R138" s="835">
        <v>0</v>
      </c>
    </row>
    <row r="139" spans="1:18" s="53" customFormat="1" ht="18.95" customHeight="1">
      <c r="A139" s="51" t="s">
        <v>371</v>
      </c>
      <c r="B139" s="80" t="s">
        <v>47</v>
      </c>
      <c r="C139" s="834">
        <v>7000</v>
      </c>
      <c r="D139" s="1051"/>
      <c r="E139" s="834">
        <f t="shared" si="109"/>
        <v>7000</v>
      </c>
      <c r="F139" s="834"/>
      <c r="G139" s="834">
        <f t="shared" si="110"/>
        <v>7000</v>
      </c>
      <c r="H139" s="834"/>
      <c r="I139" s="827">
        <f t="shared" si="105"/>
        <v>7000</v>
      </c>
      <c r="J139" s="827"/>
      <c r="K139" s="827">
        <f t="shared" si="106"/>
        <v>7000</v>
      </c>
      <c r="L139" s="827">
        <v>3200</v>
      </c>
      <c r="M139" s="827">
        <f t="shared" si="107"/>
        <v>10200</v>
      </c>
      <c r="N139" s="827">
        <v>10380</v>
      </c>
      <c r="O139" s="1428">
        <f t="shared" ref="O139:O146" si="111">N139/M139</f>
        <v>1.0176470588235293</v>
      </c>
      <c r="P139" s="834">
        <f t="shared" si="108"/>
        <v>10200</v>
      </c>
      <c r="Q139" s="834">
        <v>0</v>
      </c>
      <c r="R139" s="835">
        <v>0</v>
      </c>
    </row>
    <row r="140" spans="1:18" s="53" customFormat="1" ht="18.95" customHeight="1">
      <c r="A140" s="51" t="s">
        <v>372</v>
      </c>
      <c r="B140" s="80" t="s">
        <v>377</v>
      </c>
      <c r="C140" s="834">
        <v>0</v>
      </c>
      <c r="D140" s="1051"/>
      <c r="E140" s="834">
        <f t="shared" si="109"/>
        <v>0</v>
      </c>
      <c r="F140" s="834"/>
      <c r="G140" s="834">
        <f t="shared" si="110"/>
        <v>0</v>
      </c>
      <c r="H140" s="834"/>
      <c r="I140" s="827">
        <f t="shared" si="105"/>
        <v>0</v>
      </c>
      <c r="J140" s="827"/>
      <c r="K140" s="827">
        <f t="shared" si="106"/>
        <v>0</v>
      </c>
      <c r="L140" s="827"/>
      <c r="M140" s="827">
        <f t="shared" si="107"/>
        <v>0</v>
      </c>
      <c r="N140" s="827"/>
      <c r="O140" s="1428"/>
      <c r="P140" s="834">
        <f t="shared" si="108"/>
        <v>0</v>
      </c>
      <c r="Q140" s="834">
        <v>0</v>
      </c>
      <c r="R140" s="835">
        <v>0</v>
      </c>
    </row>
    <row r="141" spans="1:18" s="53" customFormat="1" ht="18.95" customHeight="1">
      <c r="A141" s="51" t="s">
        <v>373</v>
      </c>
      <c r="B141" s="80" t="s">
        <v>378</v>
      </c>
      <c r="C141" s="834">
        <v>0</v>
      </c>
      <c r="D141" s="1051"/>
      <c r="E141" s="834">
        <f t="shared" si="109"/>
        <v>0</v>
      </c>
      <c r="F141" s="834"/>
      <c r="G141" s="834">
        <f t="shared" si="110"/>
        <v>0</v>
      </c>
      <c r="H141" s="834"/>
      <c r="I141" s="827">
        <f t="shared" si="105"/>
        <v>0</v>
      </c>
      <c r="J141" s="827"/>
      <c r="K141" s="827">
        <f t="shared" si="106"/>
        <v>0</v>
      </c>
      <c r="L141" s="827"/>
      <c r="M141" s="827">
        <f t="shared" si="107"/>
        <v>0</v>
      </c>
      <c r="N141" s="827"/>
      <c r="O141" s="1428"/>
      <c r="P141" s="834">
        <f t="shared" si="108"/>
        <v>0</v>
      </c>
      <c r="Q141" s="834">
        <v>0</v>
      </c>
      <c r="R141" s="835">
        <v>0</v>
      </c>
    </row>
    <row r="142" spans="1:18" s="53" customFormat="1" ht="18.95" customHeight="1">
      <c r="A142" s="51" t="s">
        <v>374</v>
      </c>
      <c r="B142" s="80" t="s">
        <v>379</v>
      </c>
      <c r="C142" s="834">
        <v>0</v>
      </c>
      <c r="D142" s="1051"/>
      <c r="E142" s="834">
        <f t="shared" si="109"/>
        <v>0</v>
      </c>
      <c r="F142" s="834"/>
      <c r="G142" s="834">
        <f t="shared" si="110"/>
        <v>0</v>
      </c>
      <c r="H142" s="834"/>
      <c r="I142" s="827">
        <f t="shared" si="105"/>
        <v>0</v>
      </c>
      <c r="J142" s="827"/>
      <c r="K142" s="827">
        <f t="shared" si="106"/>
        <v>0</v>
      </c>
      <c r="L142" s="827"/>
      <c r="M142" s="827">
        <f t="shared" si="107"/>
        <v>0</v>
      </c>
      <c r="N142" s="827"/>
      <c r="O142" s="1428"/>
      <c r="P142" s="834">
        <f t="shared" si="108"/>
        <v>0</v>
      </c>
      <c r="Q142" s="834">
        <v>0</v>
      </c>
      <c r="R142" s="835">
        <v>0</v>
      </c>
    </row>
    <row r="143" spans="1:18" s="53" customFormat="1" ht="18.95" customHeight="1">
      <c r="A143" s="1029" t="s">
        <v>375</v>
      </c>
      <c r="B143" s="1034" t="s">
        <v>380</v>
      </c>
      <c r="C143" s="834">
        <f>SUM(C144:C145)</f>
        <v>156873</v>
      </c>
      <c r="D143" s="1051">
        <f t="shared" ref="D143:R143" si="112">SUM(D144:D145)</f>
        <v>8918</v>
      </c>
      <c r="E143" s="834">
        <f t="shared" si="112"/>
        <v>165791</v>
      </c>
      <c r="F143" s="834">
        <f t="shared" si="112"/>
        <v>495</v>
      </c>
      <c r="G143" s="834">
        <f t="shared" si="112"/>
        <v>166286</v>
      </c>
      <c r="H143" s="834">
        <f>H144+H145</f>
        <v>305</v>
      </c>
      <c r="I143" s="827">
        <f t="shared" si="105"/>
        <v>166591</v>
      </c>
      <c r="J143" s="827">
        <f>J144+J145</f>
        <v>151</v>
      </c>
      <c r="K143" s="827">
        <f t="shared" si="106"/>
        <v>166742</v>
      </c>
      <c r="L143" s="827">
        <f>L144+L145</f>
        <v>155</v>
      </c>
      <c r="M143" s="827">
        <v>159947</v>
      </c>
      <c r="N143" s="827">
        <f>SUM(N144:N145)</f>
        <v>138921</v>
      </c>
      <c r="O143" s="1428">
        <f t="shared" si="111"/>
        <v>0.86854395518515504</v>
      </c>
      <c r="P143" s="834">
        <f t="shared" si="108"/>
        <v>159947</v>
      </c>
      <c r="Q143" s="834">
        <f t="shared" si="112"/>
        <v>0</v>
      </c>
      <c r="R143" s="835">
        <f t="shared" si="112"/>
        <v>0</v>
      </c>
    </row>
    <row r="144" spans="1:18" s="53" customFormat="1" ht="18" customHeight="1">
      <c r="A144" s="1031" t="s">
        <v>440</v>
      </c>
      <c r="B144" s="21" t="s">
        <v>441</v>
      </c>
      <c r="C144" s="834"/>
      <c r="D144" s="1051"/>
      <c r="E144" s="834"/>
      <c r="F144" s="834"/>
      <c r="G144" s="834">
        <f t="shared" si="110"/>
        <v>0</v>
      </c>
      <c r="H144" s="834"/>
      <c r="I144" s="1139">
        <f t="shared" si="105"/>
        <v>0</v>
      </c>
      <c r="J144" s="1139"/>
      <c r="K144" s="1139">
        <f t="shared" si="106"/>
        <v>0</v>
      </c>
      <c r="L144" s="1139"/>
      <c r="M144" s="1139">
        <f t="shared" si="107"/>
        <v>0</v>
      </c>
      <c r="N144" s="1139"/>
      <c r="O144" s="1439"/>
      <c r="P144" s="834">
        <f t="shared" si="108"/>
        <v>0</v>
      </c>
      <c r="Q144" s="834"/>
      <c r="R144" s="835"/>
    </row>
    <row r="145" spans="1:18" s="53" customFormat="1" ht="18" customHeight="1" thickBot="1">
      <c r="A145" s="1032" t="s">
        <v>442</v>
      </c>
      <c r="B145" s="86" t="s">
        <v>443</v>
      </c>
      <c r="C145" s="836">
        <v>156873</v>
      </c>
      <c r="D145" s="1053">
        <f>918+8000</f>
        <v>8918</v>
      </c>
      <c r="E145" s="836">
        <f t="shared" si="109"/>
        <v>165791</v>
      </c>
      <c r="F145" s="836">
        <v>495</v>
      </c>
      <c r="G145" s="836">
        <f t="shared" si="110"/>
        <v>166286</v>
      </c>
      <c r="H145" s="836">
        <v>305</v>
      </c>
      <c r="I145" s="1427">
        <f t="shared" si="105"/>
        <v>166591</v>
      </c>
      <c r="J145" s="1427">
        <v>151</v>
      </c>
      <c r="K145" s="1427">
        <f t="shared" si="106"/>
        <v>166742</v>
      </c>
      <c r="L145" s="1427">
        <v>155</v>
      </c>
      <c r="M145" s="1139">
        <v>159947</v>
      </c>
      <c r="N145" s="1139">
        <v>138921</v>
      </c>
      <c r="O145" s="1441">
        <f t="shared" si="111"/>
        <v>0.86854395518515504</v>
      </c>
      <c r="P145" s="834">
        <f t="shared" si="108"/>
        <v>159947</v>
      </c>
      <c r="Q145" s="836">
        <v>0</v>
      </c>
      <c r="R145" s="837">
        <v>0</v>
      </c>
    </row>
    <row r="146" spans="1:18" s="54" customFormat="1" ht="21" customHeight="1" thickBot="1">
      <c r="A146" s="87"/>
      <c r="B146" s="88" t="s">
        <v>236</v>
      </c>
      <c r="C146" s="838">
        <f>SUM(C136:C143)</f>
        <v>163873</v>
      </c>
      <c r="D146" s="1054">
        <f t="shared" ref="D146:R146" si="113">SUM(D136:D143)</f>
        <v>8918</v>
      </c>
      <c r="E146" s="838">
        <f t="shared" si="113"/>
        <v>172791</v>
      </c>
      <c r="F146" s="838">
        <f t="shared" si="113"/>
        <v>495</v>
      </c>
      <c r="G146" s="838">
        <f t="shared" si="113"/>
        <v>173286</v>
      </c>
      <c r="H146" s="838">
        <f>SUM(H136:H143)</f>
        <v>305</v>
      </c>
      <c r="I146" s="833">
        <f t="shared" si="105"/>
        <v>173591</v>
      </c>
      <c r="J146" s="833">
        <f>SUM(J136:J143)</f>
        <v>151</v>
      </c>
      <c r="K146" s="833">
        <f>SUM(K136:K143)</f>
        <v>173742</v>
      </c>
      <c r="L146" s="833">
        <f>SUM(L136:L143)</f>
        <v>3355</v>
      </c>
      <c r="M146" s="833">
        <f>SUM(M136:M143)</f>
        <v>170147</v>
      </c>
      <c r="N146" s="833">
        <f>SUM(N136:N143)</f>
        <v>149301</v>
      </c>
      <c r="O146" s="1445">
        <f t="shared" si="111"/>
        <v>0.87748241226703971</v>
      </c>
      <c r="P146" s="838">
        <f>SUM(P136:P143)</f>
        <v>170147</v>
      </c>
      <c r="Q146" s="1158">
        <f t="shared" si="113"/>
        <v>0</v>
      </c>
      <c r="R146" s="1074">
        <f t="shared" si="113"/>
        <v>0</v>
      </c>
    </row>
    <row r="147" spans="1:18" s="79" customFormat="1" ht="29.1" customHeight="1">
      <c r="A147" s="1073"/>
      <c r="B147" s="1762" t="s">
        <v>283</v>
      </c>
      <c r="C147" s="1765"/>
      <c r="D147" s="1765"/>
      <c r="E147" s="1765"/>
      <c r="F147" s="1765"/>
      <c r="G147" s="1765"/>
      <c r="H147" s="1765"/>
      <c r="I147" s="1765"/>
      <c r="J147" s="1765"/>
      <c r="K147" s="1765"/>
      <c r="L147" s="1765"/>
      <c r="M147" s="1765"/>
      <c r="N147" s="1765"/>
      <c r="O147" s="1765"/>
      <c r="P147" s="1765"/>
      <c r="Q147" s="1765"/>
      <c r="R147" s="1766"/>
    </row>
    <row r="148" spans="1:18" s="53" customFormat="1" ht="18.95" customHeight="1">
      <c r="A148" s="51" t="s">
        <v>368</v>
      </c>
      <c r="B148" s="80" t="s">
        <v>366</v>
      </c>
      <c r="C148" s="834">
        <v>0</v>
      </c>
      <c r="D148" s="1051"/>
      <c r="E148" s="834">
        <f>C148+D148</f>
        <v>0</v>
      </c>
      <c r="F148" s="834"/>
      <c r="G148" s="834">
        <f>E148+F148</f>
        <v>0</v>
      </c>
      <c r="H148" s="834"/>
      <c r="I148" s="827">
        <f t="shared" ref="I148:I158" si="114">G148+H148</f>
        <v>0</v>
      </c>
      <c r="J148" s="827"/>
      <c r="K148" s="827">
        <f t="shared" ref="K148:K157" si="115">I148+J148</f>
        <v>0</v>
      </c>
      <c r="L148" s="827"/>
      <c r="M148" s="827">
        <f t="shared" ref="M148:M156" si="116">K148+L148</f>
        <v>0</v>
      </c>
      <c r="N148" s="827"/>
      <c r="O148" s="1428"/>
      <c r="P148" s="834">
        <f t="shared" ref="P148:P157" si="117">M148</f>
        <v>0</v>
      </c>
      <c r="Q148" s="834">
        <v>0</v>
      </c>
      <c r="R148" s="835">
        <v>0</v>
      </c>
    </row>
    <row r="149" spans="1:18" s="53" customFormat="1" ht="18.95" customHeight="1">
      <c r="A149" s="51" t="s">
        <v>369</v>
      </c>
      <c r="B149" s="80" t="s">
        <v>367</v>
      </c>
      <c r="C149" s="834">
        <v>0</v>
      </c>
      <c r="D149" s="1051"/>
      <c r="E149" s="834">
        <f t="shared" ref="E149:E157" si="118">C149+D149</f>
        <v>0</v>
      </c>
      <c r="F149" s="834"/>
      <c r="G149" s="834">
        <f t="shared" ref="G149:G157" si="119">E149+F149</f>
        <v>0</v>
      </c>
      <c r="H149" s="834"/>
      <c r="I149" s="827">
        <f t="shared" si="114"/>
        <v>0</v>
      </c>
      <c r="J149" s="827"/>
      <c r="K149" s="827">
        <f t="shared" si="115"/>
        <v>0</v>
      </c>
      <c r="L149" s="827"/>
      <c r="M149" s="827">
        <f t="shared" si="116"/>
        <v>0</v>
      </c>
      <c r="N149" s="827"/>
      <c r="O149" s="1428"/>
      <c r="P149" s="834">
        <f t="shared" si="117"/>
        <v>0</v>
      </c>
      <c r="Q149" s="834">
        <v>0</v>
      </c>
      <c r="R149" s="835">
        <v>0</v>
      </c>
    </row>
    <row r="150" spans="1:18" s="53" customFormat="1" ht="18.95" customHeight="1">
      <c r="A150" s="51" t="s">
        <v>370</v>
      </c>
      <c r="B150" s="80" t="s">
        <v>376</v>
      </c>
      <c r="C150" s="834">
        <v>0</v>
      </c>
      <c r="D150" s="1051"/>
      <c r="E150" s="834">
        <f t="shared" si="118"/>
        <v>0</v>
      </c>
      <c r="F150" s="834"/>
      <c r="G150" s="834">
        <f t="shared" si="119"/>
        <v>0</v>
      </c>
      <c r="H150" s="834"/>
      <c r="I150" s="827">
        <f t="shared" si="114"/>
        <v>0</v>
      </c>
      <c r="J150" s="827"/>
      <c r="K150" s="827">
        <f t="shared" si="115"/>
        <v>0</v>
      </c>
      <c r="L150" s="827"/>
      <c r="M150" s="827">
        <f t="shared" si="116"/>
        <v>0</v>
      </c>
      <c r="N150" s="827"/>
      <c r="O150" s="1428"/>
      <c r="P150" s="834">
        <f t="shared" si="117"/>
        <v>0</v>
      </c>
      <c r="Q150" s="834">
        <v>0</v>
      </c>
      <c r="R150" s="835">
        <v>0</v>
      </c>
    </row>
    <row r="151" spans="1:18" s="53" customFormat="1" ht="18.95" customHeight="1">
      <c r="A151" s="51" t="s">
        <v>371</v>
      </c>
      <c r="B151" s="80" t="s">
        <v>47</v>
      </c>
      <c r="C151" s="834">
        <v>42000</v>
      </c>
      <c r="D151" s="1051"/>
      <c r="E151" s="834">
        <f t="shared" si="118"/>
        <v>42000</v>
      </c>
      <c r="F151" s="834"/>
      <c r="G151" s="834">
        <f t="shared" si="119"/>
        <v>42000</v>
      </c>
      <c r="H151" s="834"/>
      <c r="I151" s="827">
        <f t="shared" si="114"/>
        <v>42000</v>
      </c>
      <c r="J151" s="827"/>
      <c r="K151" s="827">
        <f t="shared" si="115"/>
        <v>42000</v>
      </c>
      <c r="L151" s="827">
        <v>1174</v>
      </c>
      <c r="M151" s="827">
        <f t="shared" si="116"/>
        <v>43174</v>
      </c>
      <c r="N151" s="827">
        <v>43326</v>
      </c>
      <c r="O151" s="1428">
        <f t="shared" ref="O151:O158" si="120">N151/M151</f>
        <v>1.0035206374206698</v>
      </c>
      <c r="P151" s="834">
        <f t="shared" si="117"/>
        <v>43174</v>
      </c>
      <c r="Q151" s="834">
        <v>0</v>
      </c>
      <c r="R151" s="835">
        <v>0</v>
      </c>
    </row>
    <row r="152" spans="1:18" s="53" customFormat="1" ht="18.95" customHeight="1">
      <c r="A152" s="51" t="s">
        <v>372</v>
      </c>
      <c r="B152" s="80" t="s">
        <v>377</v>
      </c>
      <c r="C152" s="834">
        <v>0</v>
      </c>
      <c r="D152" s="1051"/>
      <c r="E152" s="834">
        <f t="shared" si="118"/>
        <v>0</v>
      </c>
      <c r="F152" s="834"/>
      <c r="G152" s="834">
        <f t="shared" si="119"/>
        <v>0</v>
      </c>
      <c r="H152" s="834"/>
      <c r="I152" s="827">
        <f t="shared" si="114"/>
        <v>0</v>
      </c>
      <c r="J152" s="827"/>
      <c r="K152" s="827">
        <f t="shared" si="115"/>
        <v>0</v>
      </c>
      <c r="L152" s="827"/>
      <c r="M152" s="827">
        <f t="shared" si="116"/>
        <v>0</v>
      </c>
      <c r="N152" s="827">
        <v>235</v>
      </c>
      <c r="O152" s="1428"/>
      <c r="P152" s="834">
        <f t="shared" si="117"/>
        <v>0</v>
      </c>
      <c r="Q152" s="834">
        <v>0</v>
      </c>
      <c r="R152" s="835">
        <v>0</v>
      </c>
    </row>
    <row r="153" spans="1:18" s="53" customFormat="1" ht="18.95" customHeight="1">
      <c r="A153" s="51" t="s">
        <v>373</v>
      </c>
      <c r="B153" s="80" t="s">
        <v>378</v>
      </c>
      <c r="C153" s="834">
        <v>0</v>
      </c>
      <c r="D153" s="1051"/>
      <c r="E153" s="834">
        <f t="shared" si="118"/>
        <v>0</v>
      </c>
      <c r="F153" s="834"/>
      <c r="G153" s="834">
        <f t="shared" si="119"/>
        <v>0</v>
      </c>
      <c r="H153" s="834"/>
      <c r="I153" s="827">
        <f t="shared" si="114"/>
        <v>0</v>
      </c>
      <c r="J153" s="827"/>
      <c r="K153" s="827">
        <f t="shared" si="115"/>
        <v>0</v>
      </c>
      <c r="L153" s="827"/>
      <c r="M153" s="827">
        <f t="shared" si="116"/>
        <v>0</v>
      </c>
      <c r="N153" s="827"/>
      <c r="O153" s="1428"/>
      <c r="P153" s="834">
        <f t="shared" si="117"/>
        <v>0</v>
      </c>
      <c r="Q153" s="834">
        <v>0</v>
      </c>
      <c r="R153" s="835">
        <v>0</v>
      </c>
    </row>
    <row r="154" spans="1:18" s="53" customFormat="1" ht="18.95" customHeight="1">
      <c r="A154" s="51" t="s">
        <v>374</v>
      </c>
      <c r="B154" s="80" t="s">
        <v>379</v>
      </c>
      <c r="C154" s="834">
        <v>0</v>
      </c>
      <c r="D154" s="1051"/>
      <c r="E154" s="834">
        <f t="shared" si="118"/>
        <v>0</v>
      </c>
      <c r="F154" s="834"/>
      <c r="G154" s="834">
        <f t="shared" si="119"/>
        <v>0</v>
      </c>
      <c r="H154" s="834"/>
      <c r="I154" s="827">
        <f t="shared" si="114"/>
        <v>0</v>
      </c>
      <c r="J154" s="827"/>
      <c r="K154" s="827">
        <f t="shared" si="115"/>
        <v>0</v>
      </c>
      <c r="L154" s="827"/>
      <c r="M154" s="827">
        <f t="shared" si="116"/>
        <v>0</v>
      </c>
      <c r="N154" s="827"/>
      <c r="O154" s="1428"/>
      <c r="P154" s="834">
        <f t="shared" si="117"/>
        <v>0</v>
      </c>
      <c r="Q154" s="834">
        <v>0</v>
      </c>
      <c r="R154" s="835">
        <v>0</v>
      </c>
    </row>
    <row r="155" spans="1:18" s="53" customFormat="1" ht="18.95" customHeight="1">
      <c r="A155" s="1029" t="s">
        <v>375</v>
      </c>
      <c r="B155" s="1034" t="s">
        <v>380</v>
      </c>
      <c r="C155" s="836">
        <f>SUM(C156:C157)</f>
        <v>69759</v>
      </c>
      <c r="D155" s="1053">
        <f t="shared" ref="D155:R155" si="121">SUM(D156:D157)</f>
        <v>7922</v>
      </c>
      <c r="E155" s="836">
        <f t="shared" si="121"/>
        <v>75181</v>
      </c>
      <c r="F155" s="836">
        <f t="shared" si="121"/>
        <v>234</v>
      </c>
      <c r="G155" s="836">
        <f t="shared" si="121"/>
        <v>75415</v>
      </c>
      <c r="H155" s="836">
        <f>H156+H157</f>
        <v>140</v>
      </c>
      <c r="I155" s="827">
        <f t="shared" si="114"/>
        <v>75555</v>
      </c>
      <c r="J155" s="827">
        <f>J156+J157</f>
        <v>69</v>
      </c>
      <c r="K155" s="827">
        <f t="shared" si="115"/>
        <v>75624</v>
      </c>
      <c r="L155" s="827">
        <f>L156+L157</f>
        <v>71</v>
      </c>
      <c r="M155" s="827">
        <f>SUM(M156:M157)</f>
        <v>84145</v>
      </c>
      <c r="N155" s="827">
        <f>SUM(N156:N157)</f>
        <v>83608</v>
      </c>
      <c r="O155" s="1428">
        <f t="shared" si="120"/>
        <v>0.99361815913007312</v>
      </c>
      <c r="P155" s="834">
        <f t="shared" si="117"/>
        <v>84145</v>
      </c>
      <c r="Q155" s="836">
        <f t="shared" si="121"/>
        <v>0</v>
      </c>
      <c r="R155" s="837">
        <f t="shared" si="121"/>
        <v>0</v>
      </c>
    </row>
    <row r="156" spans="1:18" s="53" customFormat="1" ht="18" customHeight="1">
      <c r="A156" s="1031" t="s">
        <v>440</v>
      </c>
      <c r="B156" s="21" t="s">
        <v>441</v>
      </c>
      <c r="C156" s="836">
        <v>2500</v>
      </c>
      <c r="D156" s="1053">
        <v>2500</v>
      </c>
      <c r="E156" s="834">
        <v>2500</v>
      </c>
      <c r="F156" s="834"/>
      <c r="G156" s="834">
        <f t="shared" si="119"/>
        <v>2500</v>
      </c>
      <c r="H156" s="834"/>
      <c r="I156" s="1139">
        <f t="shared" si="114"/>
        <v>2500</v>
      </c>
      <c r="J156" s="1139"/>
      <c r="K156" s="1139">
        <f t="shared" si="115"/>
        <v>2500</v>
      </c>
      <c r="L156" s="1139"/>
      <c r="M156" s="1139">
        <f t="shared" si="116"/>
        <v>2500</v>
      </c>
      <c r="N156" s="1139">
        <v>2500</v>
      </c>
      <c r="O156" s="1439">
        <f t="shared" si="120"/>
        <v>1</v>
      </c>
      <c r="P156" s="834">
        <f t="shared" si="117"/>
        <v>2500</v>
      </c>
      <c r="Q156" s="836"/>
      <c r="R156" s="837"/>
    </row>
    <row r="157" spans="1:18" s="53" customFormat="1" ht="18" customHeight="1" thickBot="1">
      <c r="A157" s="1032" t="s">
        <v>442</v>
      </c>
      <c r="B157" s="86" t="s">
        <v>443</v>
      </c>
      <c r="C157" s="836">
        <v>67259</v>
      </c>
      <c r="D157" s="1053">
        <f>422+5000</f>
        <v>5422</v>
      </c>
      <c r="E157" s="836">
        <f t="shared" si="118"/>
        <v>72681</v>
      </c>
      <c r="F157" s="836">
        <v>234</v>
      </c>
      <c r="G157" s="836">
        <f t="shared" si="119"/>
        <v>72915</v>
      </c>
      <c r="H157" s="836">
        <v>140</v>
      </c>
      <c r="I157" s="1427">
        <f t="shared" si="114"/>
        <v>73055</v>
      </c>
      <c r="J157" s="1427">
        <v>69</v>
      </c>
      <c r="K157" s="1427">
        <f t="shared" si="115"/>
        <v>73124</v>
      </c>
      <c r="L157" s="1427">
        <v>71</v>
      </c>
      <c r="M157" s="1139">
        <v>81645</v>
      </c>
      <c r="N157" s="1139">
        <v>81108</v>
      </c>
      <c r="O157" s="1441">
        <f t="shared" si="120"/>
        <v>0.99342274480984749</v>
      </c>
      <c r="P157" s="834">
        <f t="shared" si="117"/>
        <v>81645</v>
      </c>
      <c r="Q157" s="836">
        <v>0</v>
      </c>
      <c r="R157" s="837">
        <v>0</v>
      </c>
    </row>
    <row r="158" spans="1:18" s="54" customFormat="1" ht="21" customHeight="1" thickBot="1">
      <c r="A158" s="87"/>
      <c r="B158" s="88" t="s">
        <v>236</v>
      </c>
      <c r="C158" s="838">
        <f>SUM(C148:C155)</f>
        <v>111759</v>
      </c>
      <c r="D158" s="1054">
        <f t="shared" ref="D158:R158" si="122">SUM(D148:D155)</f>
        <v>7922</v>
      </c>
      <c r="E158" s="838">
        <f t="shared" si="122"/>
        <v>117181</v>
      </c>
      <c r="F158" s="838">
        <f t="shared" si="122"/>
        <v>234</v>
      </c>
      <c r="G158" s="838">
        <f t="shared" si="122"/>
        <v>117415</v>
      </c>
      <c r="H158" s="838">
        <f>SUM(H148:H155)</f>
        <v>140</v>
      </c>
      <c r="I158" s="833">
        <f t="shared" si="114"/>
        <v>117555</v>
      </c>
      <c r="J158" s="833">
        <f>SUM(J148:J155)</f>
        <v>69</v>
      </c>
      <c r="K158" s="833">
        <f>SUM(K148:K155)</f>
        <v>117624</v>
      </c>
      <c r="L158" s="833">
        <f>SUM(L148:L155)</f>
        <v>1245</v>
      </c>
      <c r="M158" s="833">
        <f>SUM(M148:M155)</f>
        <v>127319</v>
      </c>
      <c r="N158" s="833">
        <f>SUM(N148:N155)</f>
        <v>127169</v>
      </c>
      <c r="O158" s="1443">
        <f t="shared" si="120"/>
        <v>0.99882185691059466</v>
      </c>
      <c r="P158" s="838">
        <f>SUM(P148:P155)</f>
        <v>127319</v>
      </c>
      <c r="Q158" s="838">
        <f t="shared" si="122"/>
        <v>0</v>
      </c>
      <c r="R158" s="1074">
        <f t="shared" si="122"/>
        <v>0</v>
      </c>
    </row>
    <row r="159" spans="1:18" s="57" customFormat="1" ht="33" customHeight="1" thickBot="1">
      <c r="A159" s="1756" t="s">
        <v>135</v>
      </c>
      <c r="B159" s="1767"/>
      <c r="C159" s="1767"/>
      <c r="D159" s="1767"/>
      <c r="E159" s="1767"/>
      <c r="F159" s="1767"/>
      <c r="G159" s="1767"/>
      <c r="H159" s="1767"/>
      <c r="I159" s="1767"/>
      <c r="J159" s="1767"/>
      <c r="K159" s="1767"/>
      <c r="L159" s="1767"/>
      <c r="M159" s="1767"/>
      <c r="N159" s="1767"/>
      <c r="O159" s="1767"/>
      <c r="P159" s="1768"/>
      <c r="Q159" s="1768"/>
      <c r="R159" s="1769"/>
    </row>
    <row r="160" spans="1:18" ht="21" customHeight="1">
      <c r="A160" s="83" t="s">
        <v>368</v>
      </c>
      <c r="B160" s="84" t="s">
        <v>366</v>
      </c>
      <c r="C160" s="827">
        <f t="shared" ref="C160:R166" si="123">SUM(C4+C16+C28+C40+C52+C64+C76)</f>
        <v>0</v>
      </c>
      <c r="D160" s="1046">
        <f t="shared" si="123"/>
        <v>2760</v>
      </c>
      <c r="E160" s="827">
        <f t="shared" si="123"/>
        <v>2760</v>
      </c>
      <c r="F160" s="827">
        <f t="shared" si="123"/>
        <v>12654</v>
      </c>
      <c r="G160" s="827">
        <f t="shared" si="123"/>
        <v>15414</v>
      </c>
      <c r="H160" s="827">
        <f>H4+H16+H28+H40+H52+H64+H76</f>
        <v>13602</v>
      </c>
      <c r="I160" s="827">
        <f>I4+I16+I28+I40+I52+I64+I76</f>
        <v>39506</v>
      </c>
      <c r="J160" s="827">
        <f>J4+J16+J28+J40+J52+J64+J76</f>
        <v>10721</v>
      </c>
      <c r="K160" s="827">
        <f t="shared" ref="K160:N170" si="124">K4+K16+K28+K40+K52+K64+K76</f>
        <v>50227</v>
      </c>
      <c r="L160" s="827">
        <f>L4+L16+L28+L40+L52+L64+L76</f>
        <v>33508</v>
      </c>
      <c r="M160" s="827">
        <f t="shared" si="124"/>
        <v>81055</v>
      </c>
      <c r="N160" s="827">
        <f>N4+N16+N28+N40+N52+N64+N76</f>
        <v>81318</v>
      </c>
      <c r="O160" s="1428">
        <f>N160/M160</f>
        <v>1.0032447103818396</v>
      </c>
      <c r="P160" s="827">
        <f t="shared" ref="P160:Q166" si="125">SUM(P4+P16+P28+P40+P52+P64+P76)</f>
        <v>81055</v>
      </c>
      <c r="Q160" s="827">
        <f t="shared" si="125"/>
        <v>0</v>
      </c>
      <c r="R160" s="828">
        <f t="shared" si="123"/>
        <v>0</v>
      </c>
    </row>
    <row r="161" spans="1:18" ht="21" customHeight="1">
      <c r="A161" s="51" t="s">
        <v>369</v>
      </c>
      <c r="B161" s="52" t="s">
        <v>367</v>
      </c>
      <c r="C161" s="829">
        <f t="shared" si="123"/>
        <v>0</v>
      </c>
      <c r="D161" s="1047">
        <f t="shared" si="123"/>
        <v>300</v>
      </c>
      <c r="E161" s="829">
        <f t="shared" si="123"/>
        <v>300</v>
      </c>
      <c r="F161" s="829">
        <f t="shared" si="123"/>
        <v>0</v>
      </c>
      <c r="G161" s="829">
        <f t="shared" si="123"/>
        <v>300</v>
      </c>
      <c r="H161" s="827">
        <f t="shared" ref="H161:H170" si="126">H5+H17+H29+H41+H53+H65+H77</f>
        <v>0</v>
      </c>
      <c r="I161" s="827">
        <f t="shared" ref="I161:I170" si="127">I5+I17+I29+I41+I53+I65+I77</f>
        <v>300</v>
      </c>
      <c r="J161" s="827">
        <f t="shared" ref="J161:L167" si="128">J5+J17+J29+J41+J53+J65+J77</f>
        <v>0</v>
      </c>
      <c r="K161" s="827">
        <f t="shared" si="124"/>
        <v>300</v>
      </c>
      <c r="L161" s="827">
        <f t="shared" si="128"/>
        <v>0</v>
      </c>
      <c r="M161" s="827">
        <f t="shared" si="124"/>
        <v>0</v>
      </c>
      <c r="N161" s="827">
        <f t="shared" si="124"/>
        <v>0</v>
      </c>
      <c r="O161" s="1428" t="e">
        <f t="shared" ref="O161:O170" si="129">N161/M161</f>
        <v>#DIV/0!</v>
      </c>
      <c r="P161" s="829">
        <f t="shared" si="125"/>
        <v>0</v>
      </c>
      <c r="Q161" s="829">
        <f t="shared" si="125"/>
        <v>0</v>
      </c>
      <c r="R161" s="830">
        <f t="shared" si="123"/>
        <v>0</v>
      </c>
    </row>
    <row r="162" spans="1:18" ht="21" customHeight="1">
      <c r="A162" s="51" t="s">
        <v>370</v>
      </c>
      <c r="B162" s="52" t="s">
        <v>376</v>
      </c>
      <c r="C162" s="829">
        <f t="shared" si="123"/>
        <v>0</v>
      </c>
      <c r="D162" s="1047">
        <f t="shared" si="123"/>
        <v>0</v>
      </c>
      <c r="E162" s="829">
        <f t="shared" si="123"/>
        <v>0</v>
      </c>
      <c r="F162" s="829">
        <f t="shared" si="123"/>
        <v>0</v>
      </c>
      <c r="G162" s="829">
        <f t="shared" si="123"/>
        <v>0</v>
      </c>
      <c r="H162" s="827">
        <f t="shared" si="126"/>
        <v>0</v>
      </c>
      <c r="I162" s="827">
        <f t="shared" si="127"/>
        <v>0</v>
      </c>
      <c r="J162" s="827">
        <f t="shared" si="128"/>
        <v>0</v>
      </c>
      <c r="K162" s="827">
        <f t="shared" si="124"/>
        <v>0</v>
      </c>
      <c r="L162" s="827">
        <f t="shared" si="128"/>
        <v>0</v>
      </c>
      <c r="M162" s="827">
        <f t="shared" si="124"/>
        <v>0</v>
      </c>
      <c r="N162" s="827">
        <f t="shared" si="124"/>
        <v>0</v>
      </c>
      <c r="O162" s="1428"/>
      <c r="P162" s="829">
        <f t="shared" si="125"/>
        <v>0</v>
      </c>
      <c r="Q162" s="829">
        <f t="shared" si="125"/>
        <v>0</v>
      </c>
      <c r="R162" s="830">
        <f t="shared" si="123"/>
        <v>0</v>
      </c>
    </row>
    <row r="163" spans="1:18" ht="21" customHeight="1">
      <c r="A163" s="51" t="s">
        <v>371</v>
      </c>
      <c r="B163" s="52" t="s">
        <v>47</v>
      </c>
      <c r="C163" s="829">
        <f t="shared" si="123"/>
        <v>164253</v>
      </c>
      <c r="D163" s="1047">
        <f t="shared" si="123"/>
        <v>10490</v>
      </c>
      <c r="E163" s="829">
        <f t="shared" si="123"/>
        <v>174743</v>
      </c>
      <c r="F163" s="829">
        <f t="shared" si="123"/>
        <v>2000</v>
      </c>
      <c r="G163" s="829">
        <f t="shared" si="123"/>
        <v>176743</v>
      </c>
      <c r="H163" s="827">
        <f t="shared" si="126"/>
        <v>1300</v>
      </c>
      <c r="I163" s="827">
        <f t="shared" si="127"/>
        <v>167553</v>
      </c>
      <c r="J163" s="827">
        <f t="shared" si="128"/>
        <v>3000</v>
      </c>
      <c r="K163" s="827">
        <f t="shared" si="124"/>
        <v>170553</v>
      </c>
      <c r="L163" s="827">
        <f t="shared" si="128"/>
        <v>8136</v>
      </c>
      <c r="M163" s="827">
        <f t="shared" si="124"/>
        <v>178689</v>
      </c>
      <c r="N163" s="827">
        <f t="shared" si="124"/>
        <v>181972</v>
      </c>
      <c r="O163" s="1428">
        <f t="shared" si="129"/>
        <v>1.0183727034120735</v>
      </c>
      <c r="P163" s="829">
        <f t="shared" si="125"/>
        <v>169489</v>
      </c>
      <c r="Q163" s="829">
        <f t="shared" si="125"/>
        <v>9200</v>
      </c>
      <c r="R163" s="830">
        <f t="shared" si="123"/>
        <v>0</v>
      </c>
    </row>
    <row r="164" spans="1:18" ht="21" customHeight="1">
      <c r="A164" s="51" t="s">
        <v>372</v>
      </c>
      <c r="B164" s="52" t="s">
        <v>377</v>
      </c>
      <c r="C164" s="829">
        <f t="shared" si="123"/>
        <v>0</v>
      </c>
      <c r="D164" s="1047">
        <f t="shared" si="123"/>
        <v>0</v>
      </c>
      <c r="E164" s="829">
        <f t="shared" si="123"/>
        <v>0</v>
      </c>
      <c r="F164" s="829">
        <f t="shared" si="123"/>
        <v>0</v>
      </c>
      <c r="G164" s="829">
        <f t="shared" si="123"/>
        <v>0</v>
      </c>
      <c r="H164" s="827">
        <f t="shared" si="126"/>
        <v>0</v>
      </c>
      <c r="I164" s="827">
        <f t="shared" si="127"/>
        <v>0</v>
      </c>
      <c r="J164" s="827">
        <f t="shared" si="128"/>
        <v>0</v>
      </c>
      <c r="K164" s="827">
        <f t="shared" si="124"/>
        <v>0</v>
      </c>
      <c r="L164" s="827">
        <f t="shared" si="128"/>
        <v>0</v>
      </c>
      <c r="M164" s="827">
        <f t="shared" si="124"/>
        <v>0</v>
      </c>
      <c r="N164" s="827">
        <f t="shared" si="124"/>
        <v>235</v>
      </c>
      <c r="O164" s="1428"/>
      <c r="P164" s="829">
        <f t="shared" si="125"/>
        <v>0</v>
      </c>
      <c r="Q164" s="829">
        <f t="shared" si="125"/>
        <v>0</v>
      </c>
      <c r="R164" s="830">
        <f t="shared" si="123"/>
        <v>0</v>
      </c>
    </row>
    <row r="165" spans="1:18" ht="21" customHeight="1">
      <c r="A165" s="51" t="s">
        <v>373</v>
      </c>
      <c r="B165" s="52" t="s">
        <v>378</v>
      </c>
      <c r="C165" s="829">
        <f t="shared" si="123"/>
        <v>0</v>
      </c>
      <c r="D165" s="1047">
        <f t="shared" si="123"/>
        <v>0</v>
      </c>
      <c r="E165" s="829">
        <f t="shared" si="123"/>
        <v>0</v>
      </c>
      <c r="F165" s="829">
        <f t="shared" si="123"/>
        <v>0</v>
      </c>
      <c r="G165" s="829">
        <f t="shared" si="123"/>
        <v>0</v>
      </c>
      <c r="H165" s="827">
        <f t="shared" si="126"/>
        <v>7441</v>
      </c>
      <c r="I165" s="827">
        <f t="shared" si="127"/>
        <v>7441</v>
      </c>
      <c r="J165" s="827">
        <f t="shared" si="128"/>
        <v>0</v>
      </c>
      <c r="K165" s="827">
        <f t="shared" si="124"/>
        <v>7441</v>
      </c>
      <c r="L165" s="827">
        <f t="shared" si="128"/>
        <v>-6791</v>
      </c>
      <c r="M165" s="827">
        <f t="shared" si="124"/>
        <v>3330</v>
      </c>
      <c r="N165" s="827">
        <f t="shared" si="124"/>
        <v>2930</v>
      </c>
      <c r="O165" s="1428">
        <f t="shared" si="129"/>
        <v>0.87987987987987992</v>
      </c>
      <c r="P165" s="829">
        <f t="shared" si="125"/>
        <v>3330</v>
      </c>
      <c r="Q165" s="829">
        <f t="shared" si="125"/>
        <v>0</v>
      </c>
      <c r="R165" s="830">
        <f t="shared" si="123"/>
        <v>0</v>
      </c>
    </row>
    <row r="166" spans="1:18" ht="21" customHeight="1">
      <c r="A166" s="51" t="s">
        <v>374</v>
      </c>
      <c r="B166" s="52" t="s">
        <v>379</v>
      </c>
      <c r="C166" s="829">
        <f t="shared" si="123"/>
        <v>0</v>
      </c>
      <c r="D166" s="1047">
        <f t="shared" si="123"/>
        <v>0</v>
      </c>
      <c r="E166" s="829">
        <f t="shared" si="123"/>
        <v>0</v>
      </c>
      <c r="F166" s="829">
        <f t="shared" si="123"/>
        <v>0</v>
      </c>
      <c r="G166" s="829">
        <f t="shared" si="123"/>
        <v>0</v>
      </c>
      <c r="H166" s="827">
        <f t="shared" si="126"/>
        <v>0</v>
      </c>
      <c r="I166" s="827">
        <f t="shared" si="127"/>
        <v>0</v>
      </c>
      <c r="J166" s="827">
        <f t="shared" si="128"/>
        <v>0</v>
      </c>
      <c r="K166" s="827">
        <f t="shared" si="124"/>
        <v>0</v>
      </c>
      <c r="L166" s="827">
        <f t="shared" si="128"/>
        <v>0</v>
      </c>
      <c r="M166" s="827">
        <f t="shared" si="124"/>
        <v>300</v>
      </c>
      <c r="N166" s="827">
        <f t="shared" si="124"/>
        <v>700</v>
      </c>
      <c r="O166" s="1428"/>
      <c r="P166" s="829">
        <f t="shared" si="125"/>
        <v>300</v>
      </c>
      <c r="Q166" s="829">
        <f t="shared" si="125"/>
        <v>0</v>
      </c>
      <c r="R166" s="830">
        <f t="shared" si="123"/>
        <v>0</v>
      </c>
    </row>
    <row r="167" spans="1:18" ht="21" customHeight="1">
      <c r="A167" s="51" t="s">
        <v>375</v>
      </c>
      <c r="B167" s="52" t="s">
        <v>380</v>
      </c>
      <c r="C167" s="829">
        <f t="shared" ref="C167:Q168" si="130">C11+C23+C35+C47+C59+C71+C83</f>
        <v>1112349</v>
      </c>
      <c r="D167" s="1047">
        <f t="shared" si="130"/>
        <v>40908</v>
      </c>
      <c r="E167" s="829">
        <f t="shared" si="130"/>
        <v>1122157</v>
      </c>
      <c r="F167" s="829">
        <f t="shared" si="130"/>
        <v>32108</v>
      </c>
      <c r="G167" s="829">
        <f t="shared" si="130"/>
        <v>1154265</v>
      </c>
      <c r="H167" s="827">
        <f t="shared" si="126"/>
        <v>9538</v>
      </c>
      <c r="I167" s="827">
        <f t="shared" si="127"/>
        <v>1182803</v>
      </c>
      <c r="J167" s="827">
        <f t="shared" si="128"/>
        <v>6409</v>
      </c>
      <c r="K167" s="827">
        <f t="shared" si="124"/>
        <v>1189212</v>
      </c>
      <c r="L167" s="827">
        <f t="shared" si="128"/>
        <v>1900</v>
      </c>
      <c r="M167" s="827">
        <f t="shared" si="124"/>
        <v>1203212</v>
      </c>
      <c r="N167" s="827">
        <f t="shared" si="124"/>
        <v>1180714</v>
      </c>
      <c r="O167" s="1428">
        <f t="shared" si="129"/>
        <v>0.981301715740867</v>
      </c>
      <c r="P167" s="829">
        <f t="shared" si="130"/>
        <v>1199238</v>
      </c>
      <c r="Q167" s="829">
        <f t="shared" si="130"/>
        <v>3974</v>
      </c>
      <c r="R167" s="830">
        <f>SUM(R13+R23+R37+R49+R61+R73+R85)</f>
        <v>0</v>
      </c>
    </row>
    <row r="168" spans="1:18" s="55" customFormat="1" ht="21" customHeight="1">
      <c r="A168" s="28" t="s">
        <v>440</v>
      </c>
      <c r="B168" s="21" t="s">
        <v>441</v>
      </c>
      <c r="C168" s="1139">
        <f>C12+C24+C36+C48+C60+C72+C84</f>
        <v>38100</v>
      </c>
      <c r="D168" s="1139">
        <f t="shared" si="130"/>
        <v>31295</v>
      </c>
      <c r="E168" s="1139">
        <f t="shared" si="130"/>
        <v>38295</v>
      </c>
      <c r="F168" s="1139">
        <f t="shared" si="130"/>
        <v>0</v>
      </c>
      <c r="G168" s="1139">
        <f t="shared" si="130"/>
        <v>38295</v>
      </c>
      <c r="H168" s="1139">
        <f t="shared" si="130"/>
        <v>0</v>
      </c>
      <c r="I168" s="1139">
        <f t="shared" si="130"/>
        <v>38295</v>
      </c>
      <c r="J168" s="1139">
        <f t="shared" si="130"/>
        <v>0</v>
      </c>
      <c r="K168" s="1139">
        <f t="shared" si="130"/>
        <v>38295</v>
      </c>
      <c r="L168" s="1139">
        <f t="shared" si="130"/>
        <v>0</v>
      </c>
      <c r="M168" s="1139">
        <f t="shared" si="124"/>
        <v>31295</v>
      </c>
      <c r="N168" s="1139">
        <f t="shared" si="124"/>
        <v>31295</v>
      </c>
      <c r="O168" s="1439">
        <f t="shared" si="129"/>
        <v>1</v>
      </c>
      <c r="P168" s="834">
        <f>P12+P24+P36+P48+P60+P72+P84</f>
        <v>28370</v>
      </c>
      <c r="Q168" s="834">
        <f>Q12+Q24+Q36+Q48+Q60+Q72+Q84</f>
        <v>2925</v>
      </c>
      <c r="R168" s="835">
        <f>SUM(R14+R26+R38+R50+R62+R74+R86)</f>
        <v>0</v>
      </c>
    </row>
    <row r="169" spans="1:18" s="55" customFormat="1" ht="21" customHeight="1" thickBot="1">
      <c r="A169" s="85" t="s">
        <v>442</v>
      </c>
      <c r="B169" s="86" t="s">
        <v>443</v>
      </c>
      <c r="C169" s="836">
        <f t="shared" ref="C169:Q169" si="131">C167-C168</f>
        <v>1074249</v>
      </c>
      <c r="D169" s="1053">
        <f t="shared" si="131"/>
        <v>9613</v>
      </c>
      <c r="E169" s="836">
        <f t="shared" si="131"/>
        <v>1083862</v>
      </c>
      <c r="F169" s="836">
        <f t="shared" si="131"/>
        <v>32108</v>
      </c>
      <c r="G169" s="836">
        <f t="shared" si="131"/>
        <v>1115970</v>
      </c>
      <c r="H169" s="1427">
        <f t="shared" si="126"/>
        <v>9538</v>
      </c>
      <c r="I169" s="1427">
        <f t="shared" si="127"/>
        <v>1144508</v>
      </c>
      <c r="J169" s="1427">
        <f>J13+J25+J37+J49+J61+J73+J85</f>
        <v>6409</v>
      </c>
      <c r="K169" s="1427">
        <f t="shared" si="124"/>
        <v>1150917</v>
      </c>
      <c r="L169" s="1427">
        <f>L13+L25+L37+L49+L61+L73+L85</f>
        <v>1900</v>
      </c>
      <c r="M169" s="1427">
        <f t="shared" si="124"/>
        <v>1164917</v>
      </c>
      <c r="N169" s="1427">
        <f>N13+N25+N37+N49+N61+N73+N85</f>
        <v>1149419</v>
      </c>
      <c r="O169" s="1440">
        <f t="shared" si="129"/>
        <v>0.98669604787293863</v>
      </c>
      <c r="P169" s="836">
        <f t="shared" si="131"/>
        <v>1170868</v>
      </c>
      <c r="Q169" s="836">
        <f t="shared" si="131"/>
        <v>1049</v>
      </c>
      <c r="R169" s="837">
        <f>SUM(R15+R27+R39+R51+R63+R75+R87)</f>
        <v>0</v>
      </c>
    </row>
    <row r="170" spans="1:18" s="1446" customFormat="1" ht="31.15" customHeight="1" thickBot="1">
      <c r="A170" s="1756" t="s">
        <v>236</v>
      </c>
      <c r="B170" s="1757"/>
      <c r="C170" s="839">
        <f>SUM(C160:C167)</f>
        <v>1276602</v>
      </c>
      <c r="D170" s="839">
        <f t="shared" ref="D170:Q170" si="132">SUM(D160:D167)</f>
        <v>54458</v>
      </c>
      <c r="E170" s="839">
        <f t="shared" si="132"/>
        <v>1299960</v>
      </c>
      <c r="F170" s="839">
        <f t="shared" si="132"/>
        <v>46762</v>
      </c>
      <c r="G170" s="839">
        <f t="shared" si="132"/>
        <v>1346722</v>
      </c>
      <c r="H170" s="839">
        <f t="shared" si="126"/>
        <v>31881</v>
      </c>
      <c r="I170" s="839">
        <f t="shared" si="127"/>
        <v>1397603</v>
      </c>
      <c r="J170" s="839">
        <f>J14+J26+J38+J50+J62+J74+J86</f>
        <v>20130</v>
      </c>
      <c r="K170" s="839">
        <f t="shared" si="124"/>
        <v>1417733</v>
      </c>
      <c r="L170" s="839">
        <f>L14+L26+L38+L50+L62+L74+L86</f>
        <v>36753</v>
      </c>
      <c r="M170" s="839">
        <f>M14+M26+M38+M50+M62+M74+M86</f>
        <v>1466586</v>
      </c>
      <c r="N170" s="839">
        <f>SUM(N160:N167)</f>
        <v>1447869</v>
      </c>
      <c r="O170" s="1429">
        <f t="shared" si="129"/>
        <v>0.98723770716480319</v>
      </c>
      <c r="P170" s="839">
        <f t="shared" si="132"/>
        <v>1453412</v>
      </c>
      <c r="Q170" s="839">
        <f t="shared" si="132"/>
        <v>13174</v>
      </c>
      <c r="R170" s="840"/>
    </row>
    <row r="171" spans="1:18">
      <c r="D171" s="1055"/>
    </row>
    <row r="173" spans="1:18">
      <c r="A173" s="13"/>
      <c r="B173" s="77"/>
      <c r="C173" s="9"/>
      <c r="D173" s="104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8">
      <c r="A174" s="13"/>
      <c r="B174" s="77"/>
      <c r="C174" s="9"/>
      <c r="D174" s="1043" t="s">
        <v>98</v>
      </c>
      <c r="E174" s="1040" t="s">
        <v>98</v>
      </c>
      <c r="F174" s="1040"/>
      <c r="G174" s="1040"/>
      <c r="H174" s="1040"/>
      <c r="I174" s="1040"/>
      <c r="J174" s="1040"/>
      <c r="K174" s="1040"/>
      <c r="L174" s="1040"/>
      <c r="M174" s="1040"/>
      <c r="N174" s="1040"/>
      <c r="O174" s="1040"/>
    </row>
    <row r="175" spans="1:18">
      <c r="A175" s="13"/>
      <c r="C175" s="9"/>
      <c r="D175" s="1042" t="s">
        <v>98</v>
      </c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8">
      <c r="A176" s="13"/>
      <c r="C176" s="9"/>
      <c r="D176" s="104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>
      <c r="A177" s="13"/>
      <c r="C177" s="9"/>
      <c r="D177" s="104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>
      <c r="A178" s="13"/>
      <c r="C178" s="9"/>
      <c r="D178" s="104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>
      <c r="A179" s="13"/>
      <c r="C179" s="9"/>
      <c r="D179" s="104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>
      <c r="A180" s="13"/>
      <c r="C180" s="9"/>
      <c r="D180" s="104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>
      <c r="A181" s="13"/>
      <c r="C181" s="9"/>
      <c r="D181" s="104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>
      <c r="A182" s="13"/>
      <c r="C182" s="9"/>
      <c r="D182" s="104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>
      <c r="A183" s="13"/>
      <c r="C183" s="9"/>
      <c r="D183" s="104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>
      <c r="A184" s="13"/>
      <c r="C184" s="9"/>
      <c r="D184" s="104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>
      <c r="A185" s="13"/>
      <c r="C185" s="9"/>
      <c r="D185" s="104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>
      <c r="A186" s="13"/>
      <c r="C186" s="9"/>
      <c r="D186" s="104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9" spans="1:15">
      <c r="A189" s="13"/>
      <c r="B189" s="13"/>
      <c r="C189" s="9"/>
      <c r="D189" s="104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>
      <c r="A190" s="13"/>
      <c r="B190" s="13"/>
      <c r="C190" s="9"/>
      <c r="D190" s="104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</sheetData>
  <protectedRanges>
    <protectedRange sqref="Q15:R15" name="Tartomány21_1_1"/>
    <protectedRange sqref="P15" name="Tartomány20_1_1"/>
    <protectedRange sqref="C170:G170 P170:Q170" name="Tartomány13_1_1"/>
    <protectedRange sqref="Q3:R3 Q27:R27 Q39:R39 Q51:R51 Q63:R63 Q75:R75 Q87:R87 Q99:R99 Q111:R111 Q123:R123 Q135:R135" name="Tartomány11_1_1"/>
    <protectedRange sqref="P3 P27 P39 P51 P63 P75 P87 P99 P111 P123 P135" name="Tartomány10_1_1"/>
    <protectedRange sqref="C170:G170 P170:Q170" name="Tartomány1_1_1"/>
  </protectedRanges>
  <mergeCells count="16">
    <mergeCell ref="A170:B170"/>
    <mergeCell ref="A1:R1"/>
    <mergeCell ref="B111:R111"/>
    <mergeCell ref="B123:R123"/>
    <mergeCell ref="B135:R135"/>
    <mergeCell ref="B147:R147"/>
    <mergeCell ref="A159:R159"/>
    <mergeCell ref="B39:R39"/>
    <mergeCell ref="B51:R51"/>
    <mergeCell ref="B63:R63"/>
    <mergeCell ref="B87:R87"/>
    <mergeCell ref="B99:R99"/>
    <mergeCell ref="B75:R75"/>
    <mergeCell ref="B3:R3"/>
    <mergeCell ref="B15:R15"/>
    <mergeCell ref="B27:R27"/>
  </mergeCells>
  <phoneticPr fontId="6" type="noConversion"/>
  <printOptions horizontalCentered="1"/>
  <pageMargins left="0.51181102362204722" right="0.51181102362204722" top="0.74803149606299213" bottom="0.74803149606299213" header="0.31496062992125984" footer="0.31496062992125984"/>
  <pageSetup paperSize="9" scale="69" fitToHeight="0" orientation="portrait" r:id="rId1"/>
  <headerFooter>
    <oddHeader>&amp;L&amp;"Arial,Dőlt" &amp;U4. melléklet a 15/2015. (V.29.) önkormányzati rendelethez</oddHeader>
    <oddFooter>&amp;C&amp;9 &amp;10Nagykőrös Város Önkormányzat 2014. évi zárszámadási rendelete</oddFooter>
  </headerFooter>
  <rowBreaks count="3" manualBreakCount="3">
    <brk id="50" max="16383" man="1"/>
    <brk id="98" max="16383" man="1"/>
    <brk id="1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V245"/>
  <sheetViews>
    <sheetView view="pageLayout" topLeftCell="A110" zoomScaleNormal="100" zoomScaleSheetLayoutView="85" workbookViewId="0">
      <selection activeCell="K160" sqref="K160"/>
    </sheetView>
  </sheetViews>
  <sheetFormatPr defaultColWidth="9.140625" defaultRowHeight="17.25"/>
  <cols>
    <col min="1" max="1" width="8" style="646" customWidth="1"/>
    <col min="2" max="2" width="68.85546875" style="641" customWidth="1"/>
    <col min="3" max="3" width="15.42578125" style="642" bestFit="1" customWidth="1"/>
    <col min="4" max="4" width="14.85546875" style="642" hidden="1" customWidth="1"/>
    <col min="5" max="5" width="14.140625" style="642" hidden="1" customWidth="1"/>
    <col min="6" max="6" width="14.140625" style="1247" hidden="1" customWidth="1"/>
    <col min="7" max="8" width="14.140625" style="642" hidden="1" customWidth="1"/>
    <col min="9" max="9" width="15.42578125" style="642" hidden="1" customWidth="1"/>
    <col min="10" max="10" width="14.140625" style="642" hidden="1" customWidth="1"/>
    <col min="11" max="11" width="15.85546875" style="642" customWidth="1"/>
    <col min="12" max="12" width="17" style="642" bestFit="1" customWidth="1"/>
    <col min="13" max="13" width="21" style="642" bestFit="1" customWidth="1"/>
    <col min="14" max="14" width="15.42578125" style="645" bestFit="1" customWidth="1"/>
    <col min="15" max="15" width="15" style="642" customWidth="1"/>
    <col min="16" max="16" width="14.42578125" style="645" customWidth="1"/>
    <col min="17" max="17" width="16.7109375" style="596" bestFit="1" customWidth="1"/>
    <col min="18" max="18" width="13.42578125" style="596" bestFit="1" customWidth="1"/>
    <col min="19" max="16384" width="9.140625" style="596"/>
  </cols>
  <sheetData>
    <row r="1" spans="1:16" ht="39" customHeight="1" thickBot="1">
      <c r="A1" s="1784" t="s">
        <v>304</v>
      </c>
      <c r="B1" s="1784"/>
      <c r="C1" s="1784"/>
      <c r="D1" s="1784"/>
      <c r="E1" s="1784"/>
      <c r="F1" s="1784"/>
      <c r="G1" s="1784"/>
      <c r="H1" s="1784"/>
      <c r="I1" s="1784"/>
      <c r="J1" s="1784"/>
      <c r="K1" s="1784"/>
      <c r="L1" s="1784"/>
      <c r="M1" s="1784"/>
      <c r="N1" s="1784"/>
      <c r="O1" s="1784"/>
      <c r="P1" s="1784"/>
    </row>
    <row r="2" spans="1:16" s="597" customFormat="1" ht="48" customHeight="1" thickBot="1">
      <c r="A2" s="588" t="s">
        <v>109</v>
      </c>
      <c r="B2" s="589" t="s">
        <v>110</v>
      </c>
      <c r="C2" s="590" t="s">
        <v>284</v>
      </c>
      <c r="D2" s="647" t="s">
        <v>151</v>
      </c>
      <c r="E2" s="587" t="s">
        <v>866</v>
      </c>
      <c r="F2" s="756" t="s">
        <v>863</v>
      </c>
      <c r="G2" s="756" t="s">
        <v>912</v>
      </c>
      <c r="H2" s="756" t="s">
        <v>926</v>
      </c>
      <c r="I2" s="756" t="s">
        <v>925</v>
      </c>
      <c r="J2" s="756" t="s">
        <v>926</v>
      </c>
      <c r="K2" s="1448" t="s">
        <v>820</v>
      </c>
      <c r="L2" s="1448" t="s">
        <v>956</v>
      </c>
      <c r="M2" s="1449" t="s">
        <v>957</v>
      </c>
      <c r="N2" s="591" t="s">
        <v>318</v>
      </c>
      <c r="O2" s="591" t="s">
        <v>319</v>
      </c>
      <c r="P2" s="592" t="s">
        <v>302</v>
      </c>
    </row>
    <row r="3" spans="1:16" s="599" customFormat="1" ht="42" customHeight="1" thickBot="1">
      <c r="A3" s="598" t="s">
        <v>368</v>
      </c>
      <c r="B3" s="519" t="s">
        <v>526</v>
      </c>
      <c r="C3" s="841">
        <f>C4+C39+C53</f>
        <v>1299158</v>
      </c>
      <c r="D3" s="841">
        <f t="shared" ref="D3:N3" si="0">D4+D53</f>
        <v>68727</v>
      </c>
      <c r="E3" s="841">
        <f t="shared" si="0"/>
        <v>1420586</v>
      </c>
      <c r="F3" s="841">
        <f t="shared" si="0"/>
        <v>181108</v>
      </c>
      <c r="G3" s="841">
        <f t="shared" si="0"/>
        <v>1601694</v>
      </c>
      <c r="H3" s="841">
        <f t="shared" si="0"/>
        <v>17025</v>
      </c>
      <c r="I3" s="841">
        <f t="shared" si="0"/>
        <v>1618719</v>
      </c>
      <c r="J3" s="841">
        <f>J4+J53</f>
        <v>-48491</v>
      </c>
      <c r="K3" s="841">
        <f t="shared" si="0"/>
        <v>1570228</v>
      </c>
      <c r="L3" s="841">
        <f>L4+L53</f>
        <v>1540574</v>
      </c>
      <c r="M3" s="1505">
        <f>L3/K3</f>
        <v>0.98111484446844666</v>
      </c>
      <c r="N3" s="841">
        <f t="shared" si="0"/>
        <v>1487807</v>
      </c>
      <c r="O3" s="841">
        <f>O4+O39+O53</f>
        <v>82421</v>
      </c>
      <c r="P3" s="842">
        <f>P4+P39+P53</f>
        <v>0</v>
      </c>
    </row>
    <row r="4" spans="1:16" s="602" customFormat="1" ht="37.5" customHeight="1">
      <c r="A4" s="600" t="s">
        <v>385</v>
      </c>
      <c r="B4" s="601" t="s">
        <v>296</v>
      </c>
      <c r="C4" s="843">
        <f>C5+C13+C16+C33</f>
        <v>1238931</v>
      </c>
      <c r="D4" s="843">
        <f>D5+D13+D16+D33+D39</f>
        <v>8965</v>
      </c>
      <c r="E4" s="843">
        <f>E5+E13+E16+E33+E39</f>
        <v>1275999</v>
      </c>
      <c r="F4" s="843">
        <f>F5+F13+F16+F33+F39</f>
        <v>7686</v>
      </c>
      <c r="G4" s="843">
        <f>G5+G13+G16+G33+G39</f>
        <v>1283685</v>
      </c>
      <c r="H4" s="843">
        <f>H5+H16+H13+H33+H39</f>
        <v>1469</v>
      </c>
      <c r="I4" s="843">
        <f>I5+I13+I16+I33+I39</f>
        <v>1285154</v>
      </c>
      <c r="J4" s="843">
        <f>J5+J16+J13+J33+J39+J48</f>
        <v>96157</v>
      </c>
      <c r="K4" s="843">
        <f>K5+K13+K16+K33+K39+K48</f>
        <v>1381311</v>
      </c>
      <c r="L4" s="1615">
        <f>L5+L13+L16+L33+L39+L48+1877</f>
        <v>1381285</v>
      </c>
      <c r="M4" s="1522">
        <f t="shared" ref="M4:M67" si="1">L4/K4</f>
        <v>0.9999811773018531</v>
      </c>
      <c r="N4" s="843">
        <f>N5+N13+N16+N33+N39+N48</f>
        <v>1381311</v>
      </c>
      <c r="O4" s="1453">
        <f>O5+O13+O16+O33</f>
        <v>0</v>
      </c>
      <c r="P4" s="873">
        <f>P5+P13+P16+P33</f>
        <v>0</v>
      </c>
    </row>
    <row r="5" spans="1:16" s="602" customFormat="1" ht="37.5" customHeight="1">
      <c r="A5" s="603" t="s">
        <v>386</v>
      </c>
      <c r="B5" s="604" t="s">
        <v>387</v>
      </c>
      <c r="C5" s="845">
        <f t="shared" ref="C5:G5" si="2">SUM(C6:C11)</f>
        <v>354317</v>
      </c>
      <c r="D5" s="845">
        <f t="shared" si="2"/>
        <v>0</v>
      </c>
      <c r="E5" s="845">
        <f t="shared" si="2"/>
        <v>354317</v>
      </c>
      <c r="F5" s="1234">
        <f t="shared" si="2"/>
        <v>0</v>
      </c>
      <c r="G5" s="845">
        <f t="shared" si="2"/>
        <v>354317</v>
      </c>
      <c r="H5" s="845">
        <f>SUM(H6:H11)</f>
        <v>0</v>
      </c>
      <c r="I5" s="845">
        <f>SUM(I6:I11)</f>
        <v>354317</v>
      </c>
      <c r="J5" s="845">
        <f>SUM(J6:J12)</f>
        <v>52075</v>
      </c>
      <c r="K5" s="845">
        <f>SUM(K6:K12)</f>
        <v>406392</v>
      </c>
      <c r="L5" s="1672">
        <v>406392</v>
      </c>
      <c r="M5" s="1523">
        <f t="shared" si="1"/>
        <v>1</v>
      </c>
      <c r="N5" s="845">
        <f>SUM(N6:N12)</f>
        <v>406392</v>
      </c>
      <c r="O5" s="845">
        <f>SUM(O6:O10)</f>
        <v>0</v>
      </c>
      <c r="P5" s="846">
        <f>SUM(P6:P10)</f>
        <v>0</v>
      </c>
    </row>
    <row r="6" spans="1:16" s="606" customFormat="1" ht="25.5" customHeight="1">
      <c r="A6" s="605"/>
      <c r="B6" s="559" t="s">
        <v>520</v>
      </c>
      <c r="C6" s="847">
        <v>216130</v>
      </c>
      <c r="D6" s="847"/>
      <c r="E6" s="847">
        <f t="shared" ref="E6:E12" si="3">C6+D6</f>
        <v>216130</v>
      </c>
      <c r="F6" s="1235"/>
      <c r="G6" s="875">
        <f t="shared" ref="G6:G12" si="4">E6+F6</f>
        <v>216130</v>
      </c>
      <c r="H6" s="847"/>
      <c r="I6" s="875">
        <f t="shared" ref="I6:K12" si="5">G6+H6</f>
        <v>216130</v>
      </c>
      <c r="J6" s="847"/>
      <c r="K6" s="847">
        <f t="shared" si="5"/>
        <v>216130</v>
      </c>
      <c r="L6" s="1679">
        <f>216130</f>
        <v>216130</v>
      </c>
      <c r="M6" s="1524">
        <f t="shared" si="1"/>
        <v>1</v>
      </c>
      <c r="N6" s="848">
        <f t="shared" ref="N6:N11" si="6">E6</f>
        <v>216130</v>
      </c>
      <c r="O6" s="848"/>
      <c r="P6" s="849"/>
    </row>
    <row r="7" spans="1:16" s="606" customFormat="1" ht="25.5" customHeight="1">
      <c r="A7" s="605"/>
      <c r="B7" s="559" t="s">
        <v>287</v>
      </c>
      <c r="C7" s="847">
        <v>0</v>
      </c>
      <c r="D7" s="847"/>
      <c r="E7" s="847">
        <f t="shared" si="3"/>
        <v>0</v>
      </c>
      <c r="F7" s="1235"/>
      <c r="G7" s="875">
        <f t="shared" si="4"/>
        <v>0</v>
      </c>
      <c r="H7" s="847"/>
      <c r="I7" s="875">
        <f t="shared" si="5"/>
        <v>0</v>
      </c>
      <c r="J7" s="847"/>
      <c r="K7" s="847">
        <f t="shared" si="5"/>
        <v>0</v>
      </c>
      <c r="L7" s="1679"/>
      <c r="M7" s="1525"/>
      <c r="N7" s="848">
        <f t="shared" si="6"/>
        <v>0</v>
      </c>
      <c r="O7" s="848"/>
      <c r="P7" s="849"/>
    </row>
    <row r="8" spans="1:16" s="606" customFormat="1" ht="25.5" customHeight="1">
      <c r="A8" s="605"/>
      <c r="B8" s="559" t="s">
        <v>288</v>
      </c>
      <c r="C8" s="847">
        <v>73709</v>
      </c>
      <c r="D8" s="847"/>
      <c r="E8" s="847">
        <f t="shared" si="3"/>
        <v>73709</v>
      </c>
      <c r="F8" s="1235"/>
      <c r="G8" s="875">
        <f t="shared" si="4"/>
        <v>73709</v>
      </c>
      <c r="H8" s="847"/>
      <c r="I8" s="875">
        <f t="shared" si="5"/>
        <v>73709</v>
      </c>
      <c r="J8" s="847"/>
      <c r="K8" s="847">
        <f t="shared" si="5"/>
        <v>73709</v>
      </c>
      <c r="L8" s="1679">
        <v>73709</v>
      </c>
      <c r="M8" s="1524">
        <f t="shared" si="1"/>
        <v>1</v>
      </c>
      <c r="N8" s="848">
        <f t="shared" si="6"/>
        <v>73709</v>
      </c>
      <c r="O8" s="848"/>
      <c r="P8" s="849"/>
    </row>
    <row r="9" spans="1:16" s="606" customFormat="1" ht="25.5" customHeight="1">
      <c r="A9" s="605"/>
      <c r="B9" s="559" t="s">
        <v>521</v>
      </c>
      <c r="C9" s="847">
        <v>31444</v>
      </c>
      <c r="D9" s="847"/>
      <c r="E9" s="847">
        <f t="shared" si="3"/>
        <v>31444</v>
      </c>
      <c r="F9" s="1235"/>
      <c r="G9" s="875">
        <f t="shared" si="4"/>
        <v>31444</v>
      </c>
      <c r="H9" s="847"/>
      <c r="I9" s="875">
        <f t="shared" si="5"/>
        <v>31444</v>
      </c>
      <c r="J9" s="847"/>
      <c r="K9" s="847">
        <f t="shared" si="5"/>
        <v>31444</v>
      </c>
      <c r="L9" s="1679">
        <v>31444</v>
      </c>
      <c r="M9" s="1525">
        <f t="shared" si="1"/>
        <v>1</v>
      </c>
      <c r="N9" s="848">
        <f t="shared" si="6"/>
        <v>31444</v>
      </c>
      <c r="O9" s="848"/>
      <c r="P9" s="849"/>
    </row>
    <row r="10" spans="1:16" s="606" customFormat="1" ht="25.5" customHeight="1">
      <c r="A10" s="605"/>
      <c r="B10" s="559" t="s">
        <v>522</v>
      </c>
      <c r="C10" s="847">
        <v>32794</v>
      </c>
      <c r="D10" s="847"/>
      <c r="E10" s="847">
        <f t="shared" si="3"/>
        <v>32794</v>
      </c>
      <c r="F10" s="1235"/>
      <c r="G10" s="875">
        <f t="shared" si="4"/>
        <v>32794</v>
      </c>
      <c r="H10" s="847"/>
      <c r="I10" s="875">
        <f t="shared" si="5"/>
        <v>32794</v>
      </c>
      <c r="J10" s="847"/>
      <c r="K10" s="847">
        <f t="shared" si="5"/>
        <v>32794</v>
      </c>
      <c r="L10" s="1679">
        <v>32794</v>
      </c>
      <c r="M10" s="1526">
        <f t="shared" si="1"/>
        <v>1</v>
      </c>
      <c r="N10" s="848">
        <f t="shared" si="6"/>
        <v>32794</v>
      </c>
      <c r="O10" s="848"/>
      <c r="P10" s="849"/>
    </row>
    <row r="11" spans="1:16" s="606" customFormat="1" ht="25.5" customHeight="1">
      <c r="A11" s="605"/>
      <c r="B11" s="559" t="s">
        <v>484</v>
      </c>
      <c r="C11" s="853">
        <v>240</v>
      </c>
      <c r="D11" s="847"/>
      <c r="E11" s="847">
        <f t="shared" si="3"/>
        <v>240</v>
      </c>
      <c r="F11" s="1235"/>
      <c r="G11" s="875">
        <f t="shared" si="4"/>
        <v>240</v>
      </c>
      <c r="H11" s="847"/>
      <c r="I11" s="875">
        <f t="shared" si="5"/>
        <v>240</v>
      </c>
      <c r="J11" s="847"/>
      <c r="K11" s="847">
        <f t="shared" si="5"/>
        <v>240</v>
      </c>
      <c r="L11" s="1679">
        <v>240</v>
      </c>
      <c r="M11" s="1524">
        <f t="shared" si="1"/>
        <v>1</v>
      </c>
      <c r="N11" s="848">
        <f t="shared" si="6"/>
        <v>240</v>
      </c>
      <c r="O11" s="850"/>
      <c r="P11" s="849"/>
    </row>
    <row r="12" spans="1:16" s="606" customFormat="1" ht="25.5" customHeight="1">
      <c r="A12" s="605"/>
      <c r="B12" s="559" t="s">
        <v>291</v>
      </c>
      <c r="C12" s="853"/>
      <c r="D12" s="853"/>
      <c r="E12" s="853">
        <f t="shared" si="3"/>
        <v>0</v>
      </c>
      <c r="F12" s="1236"/>
      <c r="G12" s="853">
        <f t="shared" si="4"/>
        <v>0</v>
      </c>
      <c r="H12" s="853"/>
      <c r="I12" s="853">
        <f t="shared" si="5"/>
        <v>0</v>
      </c>
      <c r="J12" s="1365">
        <v>52075</v>
      </c>
      <c r="K12" s="853">
        <f t="shared" si="5"/>
        <v>52075</v>
      </c>
      <c r="L12" s="855">
        <v>52075</v>
      </c>
      <c r="M12" s="1527">
        <f t="shared" si="1"/>
        <v>1</v>
      </c>
      <c r="N12" s="848">
        <v>52075</v>
      </c>
      <c r="O12" s="848"/>
      <c r="P12" s="849"/>
    </row>
    <row r="13" spans="1:16" s="602" customFormat="1" ht="37.5" customHeight="1">
      <c r="A13" s="603" t="s">
        <v>422</v>
      </c>
      <c r="B13" s="604" t="s">
        <v>519</v>
      </c>
      <c r="C13" s="851">
        <f t="shared" ref="C13:O13" si="7">SUM(C14:C15)</f>
        <v>354667</v>
      </c>
      <c r="D13" s="851">
        <f t="shared" si="7"/>
        <v>0</v>
      </c>
      <c r="E13" s="845">
        <f t="shared" si="7"/>
        <v>356249</v>
      </c>
      <c r="F13" s="1163">
        <f t="shared" si="7"/>
        <v>0</v>
      </c>
      <c r="G13" s="851">
        <f t="shared" si="7"/>
        <v>356249</v>
      </c>
      <c r="H13" s="851">
        <f>SUM(H14:H15)</f>
        <v>0</v>
      </c>
      <c r="I13" s="851">
        <f>SUM(I14:I15)</f>
        <v>356249</v>
      </c>
      <c r="J13" s="1366">
        <f>SUM(J14:J15)</f>
        <v>723</v>
      </c>
      <c r="K13" s="851">
        <f>SUM(K14:K15)</f>
        <v>356972</v>
      </c>
      <c r="L13" s="851">
        <f>SUM(L14:L15)</f>
        <v>356972</v>
      </c>
      <c r="M13" s="1523">
        <f t="shared" si="1"/>
        <v>1</v>
      </c>
      <c r="N13" s="851">
        <f t="shared" si="7"/>
        <v>356972</v>
      </c>
      <c r="O13" s="851">
        <f t="shared" si="7"/>
        <v>0</v>
      </c>
      <c r="P13" s="852"/>
    </row>
    <row r="14" spans="1:16" s="606" customFormat="1" ht="34.5" customHeight="1">
      <c r="A14" s="605"/>
      <c r="B14" s="559" t="s">
        <v>523</v>
      </c>
      <c r="C14" s="853">
        <v>315187</v>
      </c>
      <c r="D14" s="853"/>
      <c r="E14" s="853">
        <v>316545</v>
      </c>
      <c r="F14" s="853"/>
      <c r="G14" s="853">
        <f>E14+F14</f>
        <v>316545</v>
      </c>
      <c r="H14" s="853"/>
      <c r="I14" s="853">
        <f>G14+H14</f>
        <v>316545</v>
      </c>
      <c r="J14" s="1365">
        <v>686</v>
      </c>
      <c r="K14" s="853">
        <f>I14+J14</f>
        <v>317231</v>
      </c>
      <c r="L14" s="853">
        <f>325883-4983</f>
        <v>320900</v>
      </c>
      <c r="M14" s="1527">
        <f t="shared" si="1"/>
        <v>1.011565704486636</v>
      </c>
      <c r="N14" s="853">
        <v>317231</v>
      </c>
      <c r="O14" s="848"/>
      <c r="P14" s="849"/>
    </row>
    <row r="15" spans="1:16" s="606" customFormat="1" ht="25.5" customHeight="1">
      <c r="A15" s="605"/>
      <c r="B15" s="559" t="s">
        <v>524</v>
      </c>
      <c r="C15" s="853">
        <v>39480</v>
      </c>
      <c r="D15" s="853"/>
      <c r="E15" s="853">
        <v>39704</v>
      </c>
      <c r="F15" s="853"/>
      <c r="G15" s="853">
        <f>E15+F15</f>
        <v>39704</v>
      </c>
      <c r="H15" s="853"/>
      <c r="I15" s="853">
        <f>G15+H15</f>
        <v>39704</v>
      </c>
      <c r="J15" s="1365">
        <v>37</v>
      </c>
      <c r="K15" s="853">
        <f>I15+J15</f>
        <v>39741</v>
      </c>
      <c r="L15" s="853">
        <f>41072-5000</f>
        <v>36072</v>
      </c>
      <c r="M15" s="1524">
        <f t="shared" si="1"/>
        <v>0.90767720993432477</v>
      </c>
      <c r="N15" s="853">
        <v>39741</v>
      </c>
      <c r="O15" s="848"/>
      <c r="P15" s="849"/>
    </row>
    <row r="16" spans="1:16" s="602" customFormat="1" ht="37.5" customHeight="1">
      <c r="A16" s="603" t="s">
        <v>423</v>
      </c>
      <c r="B16" s="604" t="s">
        <v>489</v>
      </c>
      <c r="C16" s="851">
        <f>SUM(C17:C31)</f>
        <v>486673</v>
      </c>
      <c r="D16" s="851">
        <f>SUM(D17:D32)</f>
        <v>6407</v>
      </c>
      <c r="E16" s="851">
        <f t="shared" ref="E16:N16" si="8">E17+E22+E23+E24+E25+E26+E27+E28+E29+E30+E31+E32</f>
        <v>503011</v>
      </c>
      <c r="F16" s="851">
        <f t="shared" si="8"/>
        <v>4211</v>
      </c>
      <c r="G16" s="851">
        <f t="shared" si="8"/>
        <v>507222</v>
      </c>
      <c r="H16" s="851">
        <f t="shared" si="8"/>
        <v>1469</v>
      </c>
      <c r="I16" s="851">
        <f>I17+I22+I23+I24+I25+I26+I27+I28+I29+I30+I31+I32</f>
        <v>508691</v>
      </c>
      <c r="J16" s="1366">
        <f>J17+J22+J23+J24+J25+J26+J27+J28+J29+J30+J31+J32</f>
        <v>-131939</v>
      </c>
      <c r="K16" s="851">
        <f>K17+K22+K23+K24+K25+K26+K27+K28+K29+K30+K31+K32</f>
        <v>376752</v>
      </c>
      <c r="L16" s="851">
        <f>L17+L22+L23+L24+L25+L26+L27+L28+L29+L30+L31+L32</f>
        <v>376752</v>
      </c>
      <c r="M16" s="1523">
        <f t="shared" si="1"/>
        <v>1</v>
      </c>
      <c r="N16" s="851">
        <f t="shared" si="8"/>
        <v>376752</v>
      </c>
      <c r="O16" s="851">
        <f>SUM(O22:O31)+O17</f>
        <v>0</v>
      </c>
      <c r="P16" s="854">
        <f>SUM(P22:P31)+P17</f>
        <v>0</v>
      </c>
    </row>
    <row r="17" spans="1:16" s="606" customFormat="1" ht="25.5" customHeight="1">
      <c r="A17" s="605"/>
      <c r="B17" s="559" t="s">
        <v>491</v>
      </c>
      <c r="C17" s="853">
        <v>250000</v>
      </c>
      <c r="D17" s="853"/>
      <c r="E17" s="853">
        <f t="shared" ref="E17:I17" si="9">E18+E19+E20+E21</f>
        <v>250000</v>
      </c>
      <c r="F17" s="1236">
        <f t="shared" si="9"/>
        <v>0</v>
      </c>
      <c r="G17" s="853">
        <f t="shared" si="9"/>
        <v>250000</v>
      </c>
      <c r="H17" s="853">
        <f t="shared" si="9"/>
        <v>0</v>
      </c>
      <c r="I17" s="853">
        <f t="shared" si="9"/>
        <v>250000</v>
      </c>
      <c r="J17" s="1365">
        <f>J18+J19+J20+J21</f>
        <v>-66431</v>
      </c>
      <c r="K17" s="853">
        <f>K18+K19+K20+K21</f>
        <v>183569</v>
      </c>
      <c r="L17" s="853">
        <f>L18+L19+L20+L21-17544</f>
        <v>166025</v>
      </c>
      <c r="M17" s="1525">
        <f t="shared" si="1"/>
        <v>0.90442830761185167</v>
      </c>
      <c r="N17" s="848">
        <f>SUM(N18:N21)</f>
        <v>183569</v>
      </c>
      <c r="O17" s="848"/>
      <c r="P17" s="849"/>
    </row>
    <row r="18" spans="1:16" s="624" customFormat="1" ht="25.5" customHeight="1">
      <c r="A18" s="619"/>
      <c r="B18" s="1162" t="s">
        <v>825</v>
      </c>
      <c r="C18" s="866"/>
      <c r="D18" s="866"/>
      <c r="E18" s="866">
        <v>31500</v>
      </c>
      <c r="F18" s="1238"/>
      <c r="G18" s="866">
        <f t="shared" ref="G18:G32" si="10">E18+F18</f>
        <v>31500</v>
      </c>
      <c r="H18" s="866"/>
      <c r="I18" s="866">
        <f t="shared" ref="I18:K32" si="11">G18+H18</f>
        <v>31500</v>
      </c>
      <c r="J18" s="1367">
        <v>-2835</v>
      </c>
      <c r="K18" s="866">
        <f t="shared" si="11"/>
        <v>28665</v>
      </c>
      <c r="L18" s="866">
        <v>28665</v>
      </c>
      <c r="M18" s="1528">
        <f t="shared" si="1"/>
        <v>1</v>
      </c>
      <c r="N18" s="867">
        <v>28665</v>
      </c>
      <c r="O18" s="867"/>
      <c r="P18" s="868"/>
    </row>
    <row r="19" spans="1:16" s="624" customFormat="1" ht="25.5" customHeight="1">
      <c r="A19" s="619"/>
      <c r="B19" s="1162" t="s">
        <v>833</v>
      </c>
      <c r="C19" s="866"/>
      <c r="D19" s="866"/>
      <c r="E19" s="866">
        <v>60000</v>
      </c>
      <c r="F19" s="1238"/>
      <c r="G19" s="866">
        <f t="shared" si="10"/>
        <v>60000</v>
      </c>
      <c r="H19" s="866"/>
      <c r="I19" s="866">
        <f t="shared" si="11"/>
        <v>60000</v>
      </c>
      <c r="J19" s="1367">
        <v>-1491</v>
      </c>
      <c r="K19" s="866">
        <f t="shared" si="11"/>
        <v>58509</v>
      </c>
      <c r="L19" s="866">
        <v>58509</v>
      </c>
      <c r="M19" s="1529">
        <f t="shared" si="1"/>
        <v>1</v>
      </c>
      <c r="N19" s="867">
        <v>58509</v>
      </c>
      <c r="O19" s="867"/>
      <c r="P19" s="868"/>
    </row>
    <row r="20" spans="1:16" s="624" customFormat="1" ht="25.5" customHeight="1">
      <c r="A20" s="619"/>
      <c r="B20" s="1162" t="s">
        <v>834</v>
      </c>
      <c r="C20" s="866"/>
      <c r="D20" s="866"/>
      <c r="E20" s="866">
        <v>156500</v>
      </c>
      <c r="F20" s="1238"/>
      <c r="G20" s="866">
        <f t="shared" si="10"/>
        <v>156500</v>
      </c>
      <c r="H20" s="866"/>
      <c r="I20" s="866">
        <f t="shared" si="11"/>
        <v>156500</v>
      </c>
      <c r="J20" s="1367">
        <v>-60955</v>
      </c>
      <c r="K20" s="866">
        <f t="shared" si="11"/>
        <v>95545</v>
      </c>
      <c r="L20" s="866">
        <v>95545</v>
      </c>
      <c r="M20" s="1528">
        <f t="shared" si="1"/>
        <v>1</v>
      </c>
      <c r="N20" s="867">
        <v>95545</v>
      </c>
      <c r="O20" s="867"/>
      <c r="P20" s="868"/>
    </row>
    <row r="21" spans="1:16" s="624" customFormat="1" ht="25.5" customHeight="1">
      <c r="A21" s="619"/>
      <c r="B21" s="1162" t="s">
        <v>125</v>
      </c>
      <c r="C21" s="866"/>
      <c r="D21" s="866"/>
      <c r="E21" s="866">
        <v>2000</v>
      </c>
      <c r="F21" s="1238"/>
      <c r="G21" s="866">
        <f t="shared" si="10"/>
        <v>2000</v>
      </c>
      <c r="H21" s="866"/>
      <c r="I21" s="866">
        <f t="shared" si="11"/>
        <v>2000</v>
      </c>
      <c r="J21" s="1367">
        <v>-1150</v>
      </c>
      <c r="K21" s="866">
        <f t="shared" si="11"/>
        <v>850</v>
      </c>
      <c r="L21" s="866">
        <v>850</v>
      </c>
      <c r="M21" s="1529">
        <f t="shared" si="1"/>
        <v>1</v>
      </c>
      <c r="N21" s="867">
        <v>850</v>
      </c>
      <c r="O21" s="867"/>
      <c r="P21" s="868"/>
    </row>
    <row r="22" spans="1:16" s="606" customFormat="1" ht="25.5" customHeight="1">
      <c r="A22" s="605"/>
      <c r="B22" s="559" t="s">
        <v>291</v>
      </c>
      <c r="C22" s="853">
        <v>52075</v>
      </c>
      <c r="D22" s="853"/>
      <c r="E22" s="853">
        <f t="shared" ref="E22:E31" si="12">C22+D22</f>
        <v>52075</v>
      </c>
      <c r="F22" s="1236"/>
      <c r="G22" s="853">
        <f t="shared" si="10"/>
        <v>52075</v>
      </c>
      <c r="H22" s="853"/>
      <c r="I22" s="853">
        <f t="shared" si="11"/>
        <v>52075</v>
      </c>
      <c r="J22" s="1365">
        <v>-52075</v>
      </c>
      <c r="K22" s="853">
        <f t="shared" si="11"/>
        <v>0</v>
      </c>
      <c r="L22" s="855"/>
      <c r="M22" s="1524"/>
      <c r="N22" s="848">
        <v>0</v>
      </c>
      <c r="O22" s="848"/>
      <c r="P22" s="849"/>
    </row>
    <row r="23" spans="1:16" s="606" customFormat="1" ht="25.5" customHeight="1">
      <c r="A23" s="605"/>
      <c r="B23" s="568" t="s">
        <v>485</v>
      </c>
      <c r="C23" s="853">
        <v>19191</v>
      </c>
      <c r="D23" s="853"/>
      <c r="E23" s="853">
        <f t="shared" si="12"/>
        <v>19191</v>
      </c>
      <c r="F23" s="1236"/>
      <c r="G23" s="853">
        <f t="shared" si="10"/>
        <v>19191</v>
      </c>
      <c r="H23" s="853"/>
      <c r="I23" s="853">
        <f t="shared" si="11"/>
        <v>19191</v>
      </c>
      <c r="J23" s="1365"/>
      <c r="K23" s="853">
        <f t="shared" si="11"/>
        <v>19191</v>
      </c>
      <c r="L23" s="853">
        <f>19191+3661</f>
        <v>22852</v>
      </c>
      <c r="M23" s="1525">
        <f t="shared" si="1"/>
        <v>1.1907665051326142</v>
      </c>
      <c r="N23" s="848">
        <f t="shared" ref="N23:N26" si="13">E23</f>
        <v>19191</v>
      </c>
      <c r="O23" s="848"/>
      <c r="P23" s="849"/>
    </row>
    <row r="24" spans="1:16" s="606" customFormat="1" ht="25.5" customHeight="1">
      <c r="A24" s="605"/>
      <c r="B24" s="568" t="s">
        <v>292</v>
      </c>
      <c r="C24" s="853">
        <v>4982</v>
      </c>
      <c r="D24" s="853"/>
      <c r="E24" s="853">
        <f t="shared" si="12"/>
        <v>4982</v>
      </c>
      <c r="F24" s="1236"/>
      <c r="G24" s="853">
        <f t="shared" si="10"/>
        <v>4982</v>
      </c>
      <c r="H24" s="853"/>
      <c r="I24" s="853">
        <f t="shared" si="11"/>
        <v>4982</v>
      </c>
      <c r="J24" s="1365">
        <v>-111</v>
      </c>
      <c r="K24" s="853">
        <f t="shared" si="11"/>
        <v>4871</v>
      </c>
      <c r="L24" s="853">
        <v>5067</v>
      </c>
      <c r="M24" s="1524">
        <f t="shared" si="1"/>
        <v>1.0402381441182509</v>
      </c>
      <c r="N24" s="848">
        <v>4871</v>
      </c>
      <c r="O24" s="848"/>
      <c r="P24" s="849"/>
    </row>
    <row r="25" spans="1:16" s="607" customFormat="1" ht="25.5" customHeight="1">
      <c r="A25" s="605"/>
      <c r="B25" s="568" t="s">
        <v>293</v>
      </c>
      <c r="C25" s="853">
        <v>5075</v>
      </c>
      <c r="D25" s="853"/>
      <c r="E25" s="853">
        <f t="shared" si="12"/>
        <v>5075</v>
      </c>
      <c r="F25" s="1236"/>
      <c r="G25" s="853">
        <f t="shared" si="10"/>
        <v>5075</v>
      </c>
      <c r="H25" s="853"/>
      <c r="I25" s="853">
        <f t="shared" si="11"/>
        <v>5075</v>
      </c>
      <c r="J25" s="1365">
        <v>725</v>
      </c>
      <c r="K25" s="853">
        <f t="shared" si="11"/>
        <v>5800</v>
      </c>
      <c r="L25" s="853">
        <v>6044</v>
      </c>
      <c r="M25" s="1525">
        <f t="shared" si="1"/>
        <v>1.0420689655172415</v>
      </c>
      <c r="N25" s="848">
        <v>5800</v>
      </c>
      <c r="O25" s="848"/>
      <c r="P25" s="849"/>
    </row>
    <row r="26" spans="1:16" s="607" customFormat="1" ht="25.5" customHeight="1">
      <c r="A26" s="605"/>
      <c r="B26" s="568" t="s">
        <v>294</v>
      </c>
      <c r="C26" s="853">
        <v>1417</v>
      </c>
      <c r="D26" s="853"/>
      <c r="E26" s="853">
        <f t="shared" si="12"/>
        <v>1417</v>
      </c>
      <c r="F26" s="1236"/>
      <c r="G26" s="853">
        <f t="shared" si="10"/>
        <v>1417</v>
      </c>
      <c r="H26" s="853"/>
      <c r="I26" s="853">
        <f t="shared" si="11"/>
        <v>1417</v>
      </c>
      <c r="J26" s="1365"/>
      <c r="K26" s="853">
        <f t="shared" si="11"/>
        <v>1417</v>
      </c>
      <c r="L26" s="853">
        <v>1474</v>
      </c>
      <c r="M26" s="1527">
        <f t="shared" si="1"/>
        <v>1.0402258292166549</v>
      </c>
      <c r="N26" s="848">
        <f t="shared" si="13"/>
        <v>1417</v>
      </c>
      <c r="O26" s="848"/>
      <c r="P26" s="849"/>
    </row>
    <row r="27" spans="1:16" s="607" customFormat="1" ht="25.5" customHeight="1">
      <c r="A27" s="605"/>
      <c r="B27" s="568" t="s">
        <v>295</v>
      </c>
      <c r="C27" s="853">
        <v>4900</v>
      </c>
      <c r="D27" s="853"/>
      <c r="E27" s="853">
        <v>6400</v>
      </c>
      <c r="F27" s="853"/>
      <c r="G27" s="853">
        <f t="shared" si="10"/>
        <v>6400</v>
      </c>
      <c r="H27" s="853"/>
      <c r="I27" s="853">
        <f t="shared" si="11"/>
        <v>6400</v>
      </c>
      <c r="J27" s="1365"/>
      <c r="K27" s="853">
        <f t="shared" si="11"/>
        <v>6400</v>
      </c>
      <c r="L27" s="853">
        <v>6696</v>
      </c>
      <c r="M27" s="1524">
        <f t="shared" si="1"/>
        <v>1.0462499999999999</v>
      </c>
      <c r="N27" s="848">
        <v>6400</v>
      </c>
      <c r="O27" s="848"/>
      <c r="P27" s="849"/>
    </row>
    <row r="28" spans="1:16" s="606" customFormat="1" ht="25.5" customHeight="1">
      <c r="A28" s="605"/>
      <c r="B28" s="568" t="s">
        <v>486</v>
      </c>
      <c r="C28" s="855">
        <v>16429</v>
      </c>
      <c r="D28" s="855"/>
      <c r="E28" s="853">
        <f t="shared" si="12"/>
        <v>16429</v>
      </c>
      <c r="F28" s="853"/>
      <c r="G28" s="853">
        <f t="shared" si="10"/>
        <v>16429</v>
      </c>
      <c r="H28" s="853"/>
      <c r="I28" s="853">
        <f t="shared" si="11"/>
        <v>16429</v>
      </c>
      <c r="J28" s="1365">
        <v>4447</v>
      </c>
      <c r="K28" s="853">
        <f t="shared" si="11"/>
        <v>20876</v>
      </c>
      <c r="L28" s="853">
        <v>21711</v>
      </c>
      <c r="M28" s="1524">
        <f t="shared" si="1"/>
        <v>1.0399980839241234</v>
      </c>
      <c r="N28" s="848">
        <v>20876</v>
      </c>
      <c r="O28" s="848"/>
      <c r="P28" s="849"/>
    </row>
    <row r="29" spans="1:16" s="606" customFormat="1" ht="33.75" customHeight="1">
      <c r="A29" s="605"/>
      <c r="B29" s="608" t="s">
        <v>487</v>
      </c>
      <c r="C29" s="855">
        <v>20848</v>
      </c>
      <c r="D29" s="855"/>
      <c r="E29" s="853">
        <v>24602</v>
      </c>
      <c r="F29" s="853"/>
      <c r="G29" s="853">
        <f t="shared" si="10"/>
        <v>24602</v>
      </c>
      <c r="H29" s="853"/>
      <c r="I29" s="853">
        <f t="shared" si="11"/>
        <v>24602</v>
      </c>
      <c r="J29" s="1365">
        <v>-3754</v>
      </c>
      <c r="K29" s="853">
        <f t="shared" si="11"/>
        <v>20848</v>
      </c>
      <c r="L29" s="853">
        <v>21682</v>
      </c>
      <c r="M29" s="1525">
        <f t="shared" si="1"/>
        <v>1.0400038372985418</v>
      </c>
      <c r="N29" s="853">
        <v>20848</v>
      </c>
      <c r="O29" s="848"/>
      <c r="P29" s="849"/>
    </row>
    <row r="30" spans="1:16" s="606" customFormat="1" ht="25.5" customHeight="1">
      <c r="A30" s="605"/>
      <c r="B30" s="608" t="s">
        <v>488</v>
      </c>
      <c r="C30" s="855">
        <v>4275</v>
      </c>
      <c r="D30" s="855"/>
      <c r="E30" s="853">
        <f t="shared" si="12"/>
        <v>4275</v>
      </c>
      <c r="F30" s="1303">
        <v>2162</v>
      </c>
      <c r="G30" s="853">
        <f t="shared" si="10"/>
        <v>6437</v>
      </c>
      <c r="H30" s="853"/>
      <c r="I30" s="853">
        <f t="shared" si="11"/>
        <v>6437</v>
      </c>
      <c r="J30" s="1365"/>
      <c r="K30" s="853">
        <f t="shared" si="11"/>
        <v>6437</v>
      </c>
      <c r="L30" s="853">
        <v>6437</v>
      </c>
      <c r="M30" s="1527">
        <f t="shared" si="1"/>
        <v>1</v>
      </c>
      <c r="N30" s="848">
        <v>6437</v>
      </c>
      <c r="O30" s="848"/>
      <c r="P30" s="849"/>
    </row>
    <row r="31" spans="1:16" s="606" customFormat="1" ht="25.5" customHeight="1">
      <c r="A31" s="605"/>
      <c r="B31" s="568" t="s">
        <v>459</v>
      </c>
      <c r="C31" s="855">
        <f>52730+54751</f>
        <v>107481</v>
      </c>
      <c r="D31" s="855"/>
      <c r="E31" s="853">
        <f t="shared" si="12"/>
        <v>107481</v>
      </c>
      <c r="F31" s="1303">
        <v>-889</v>
      </c>
      <c r="G31" s="853">
        <f t="shared" si="10"/>
        <v>106592</v>
      </c>
      <c r="H31" s="853"/>
      <c r="I31" s="853">
        <f t="shared" si="11"/>
        <v>106592</v>
      </c>
      <c r="J31" s="1365">
        <v>751</v>
      </c>
      <c r="K31" s="853">
        <f t="shared" si="11"/>
        <v>107343</v>
      </c>
      <c r="L31" s="853">
        <f>107343+2181-8500</f>
        <v>101024</v>
      </c>
      <c r="M31" s="1524">
        <f t="shared" si="1"/>
        <v>0.94113263091212285</v>
      </c>
      <c r="N31" s="848">
        <v>107343</v>
      </c>
      <c r="O31" s="848"/>
      <c r="P31" s="849"/>
    </row>
    <row r="32" spans="1:16" s="606" customFormat="1" ht="25.5" customHeight="1">
      <c r="A32" s="605"/>
      <c r="B32" s="568" t="s">
        <v>875</v>
      </c>
      <c r="C32" s="855"/>
      <c r="D32" s="855">
        <v>6407</v>
      </c>
      <c r="E32" s="853">
        <v>11084</v>
      </c>
      <c r="F32" s="853">
        <v>2938</v>
      </c>
      <c r="G32" s="853">
        <f t="shared" si="10"/>
        <v>14022</v>
      </c>
      <c r="H32" s="853">
        <v>1469</v>
      </c>
      <c r="I32" s="853">
        <f t="shared" si="11"/>
        <v>15491</v>
      </c>
      <c r="J32" s="1365">
        <v>-15491</v>
      </c>
      <c r="K32" s="853">
        <f t="shared" si="11"/>
        <v>0</v>
      </c>
      <c r="L32" s="853">
        <v>17740</v>
      </c>
      <c r="M32" s="1524"/>
      <c r="N32" s="848">
        <v>0</v>
      </c>
      <c r="O32" s="848"/>
      <c r="P32" s="849"/>
    </row>
    <row r="33" spans="1:16" s="602" customFormat="1" ht="37.5" customHeight="1">
      <c r="A33" s="603" t="s">
        <v>424</v>
      </c>
      <c r="B33" s="609" t="s">
        <v>289</v>
      </c>
      <c r="C33" s="851">
        <f>SUM(C34:C35)</f>
        <v>43274</v>
      </c>
      <c r="D33" s="851">
        <f>SUM(D34:D35)</f>
        <v>0</v>
      </c>
      <c r="E33" s="851">
        <f t="shared" ref="E33:N33" si="14">SUM(E34:E38)</f>
        <v>46005</v>
      </c>
      <c r="F33" s="851">
        <f t="shared" si="14"/>
        <v>-2731</v>
      </c>
      <c r="G33" s="851">
        <f t="shared" si="14"/>
        <v>43274</v>
      </c>
      <c r="H33" s="851">
        <f t="shared" si="14"/>
        <v>0</v>
      </c>
      <c r="I33" s="851">
        <f t="shared" si="14"/>
        <v>43274</v>
      </c>
      <c r="J33" s="851">
        <f t="shared" si="14"/>
        <v>0</v>
      </c>
      <c r="K33" s="851">
        <f t="shared" si="14"/>
        <v>43274</v>
      </c>
      <c r="L33" s="851">
        <f t="shared" si="14"/>
        <v>43274</v>
      </c>
      <c r="M33" s="1530">
        <f t="shared" si="1"/>
        <v>1</v>
      </c>
      <c r="N33" s="851">
        <f t="shared" si="14"/>
        <v>43274</v>
      </c>
      <c r="O33" s="856"/>
      <c r="P33" s="852"/>
    </row>
    <row r="34" spans="1:16" s="606" customFormat="1" ht="35.25" customHeight="1">
      <c r="A34" s="605"/>
      <c r="B34" s="568" t="s">
        <v>290</v>
      </c>
      <c r="C34" s="853">
        <v>27693</v>
      </c>
      <c r="D34" s="853"/>
      <c r="E34" s="853">
        <f>C34+D34</f>
        <v>27693</v>
      </c>
      <c r="F34" s="1236"/>
      <c r="G34" s="853">
        <f>E34+F34</f>
        <v>27693</v>
      </c>
      <c r="H34" s="853"/>
      <c r="I34" s="853">
        <f>G34+H34</f>
        <v>27693</v>
      </c>
      <c r="J34" s="853"/>
      <c r="K34" s="853">
        <f>I34+J34</f>
        <v>27693</v>
      </c>
      <c r="L34" s="853">
        <v>27693</v>
      </c>
      <c r="M34" s="1527">
        <f t="shared" si="1"/>
        <v>1</v>
      </c>
      <c r="N34" s="853">
        <f>E34</f>
        <v>27693</v>
      </c>
      <c r="O34" s="848"/>
      <c r="P34" s="849"/>
    </row>
    <row r="35" spans="1:16" s="606" customFormat="1" ht="33">
      <c r="A35" s="605"/>
      <c r="B35" s="568" t="s">
        <v>516</v>
      </c>
      <c r="C35" s="853">
        <v>15581</v>
      </c>
      <c r="D35" s="853"/>
      <c r="E35" s="853">
        <f>C35+D35</f>
        <v>15581</v>
      </c>
      <c r="F35" s="1236"/>
      <c r="G35" s="853">
        <f>E35+F35</f>
        <v>15581</v>
      </c>
      <c r="H35" s="853"/>
      <c r="I35" s="853">
        <f>G35+H35</f>
        <v>15581</v>
      </c>
      <c r="J35" s="853"/>
      <c r="K35" s="853">
        <f>I35+J35</f>
        <v>15581</v>
      </c>
      <c r="L35" s="853">
        <v>15581</v>
      </c>
      <c r="M35" s="1524">
        <f t="shared" si="1"/>
        <v>1</v>
      </c>
      <c r="N35" s="853">
        <f>E35</f>
        <v>15581</v>
      </c>
      <c r="O35" s="848"/>
      <c r="P35" s="849"/>
    </row>
    <row r="36" spans="1:16" s="606" customFormat="1" ht="25.5" customHeight="1">
      <c r="A36" s="605"/>
      <c r="B36" s="568" t="s">
        <v>876</v>
      </c>
      <c r="C36" s="853"/>
      <c r="D36" s="853"/>
      <c r="E36" s="853">
        <v>1500</v>
      </c>
      <c r="F36" s="853">
        <v>-1500</v>
      </c>
      <c r="G36" s="853">
        <v>0</v>
      </c>
      <c r="H36" s="853"/>
      <c r="I36" s="853">
        <f>G36+H36</f>
        <v>0</v>
      </c>
      <c r="J36" s="853"/>
      <c r="K36" s="853">
        <f>I36+J36</f>
        <v>0</v>
      </c>
      <c r="L36" s="853"/>
      <c r="M36" s="1524"/>
      <c r="N36" s="853">
        <v>0</v>
      </c>
      <c r="O36" s="848"/>
      <c r="P36" s="849"/>
    </row>
    <row r="37" spans="1:16" s="606" customFormat="1" ht="25.5" customHeight="1">
      <c r="A37" s="605"/>
      <c r="B37" s="612" t="s">
        <v>880</v>
      </c>
      <c r="C37" s="853"/>
      <c r="D37" s="853"/>
      <c r="E37" s="853">
        <v>918</v>
      </c>
      <c r="F37" s="853">
        <v>-918</v>
      </c>
      <c r="G37" s="853">
        <v>0</v>
      </c>
      <c r="H37" s="853"/>
      <c r="I37" s="853">
        <f>G37+H37</f>
        <v>0</v>
      </c>
      <c r="J37" s="853"/>
      <c r="K37" s="853">
        <f>I37+J37</f>
        <v>0</v>
      </c>
      <c r="L37" s="853"/>
      <c r="M37" s="1524"/>
      <c r="N37" s="850">
        <v>0</v>
      </c>
      <c r="O37" s="850"/>
      <c r="P37" s="849"/>
    </row>
    <row r="38" spans="1:16" s="606" customFormat="1" ht="25.5" customHeight="1">
      <c r="A38" s="605"/>
      <c r="B38" s="612" t="s">
        <v>881</v>
      </c>
      <c r="C38" s="853"/>
      <c r="D38" s="853"/>
      <c r="E38" s="853">
        <v>313</v>
      </c>
      <c r="F38" s="853">
        <v>-313</v>
      </c>
      <c r="G38" s="853">
        <v>0</v>
      </c>
      <c r="H38" s="853"/>
      <c r="I38" s="853">
        <f>G38+H38</f>
        <v>0</v>
      </c>
      <c r="J38" s="853"/>
      <c r="K38" s="853">
        <f>I38+J38</f>
        <v>0</v>
      </c>
      <c r="L38" s="853"/>
      <c r="M38" s="1524"/>
      <c r="N38" s="850">
        <v>0</v>
      </c>
      <c r="O38" s="850"/>
      <c r="P38" s="849"/>
    </row>
    <row r="39" spans="1:16" s="602" customFormat="1" ht="37.5" customHeight="1">
      <c r="A39" s="603" t="s">
        <v>425</v>
      </c>
      <c r="B39" s="610" t="s">
        <v>426</v>
      </c>
      <c r="C39" s="851">
        <f>SUM(C40:C41)</f>
        <v>13859</v>
      </c>
      <c r="D39" s="851">
        <f>SUM(D40:D43)</f>
        <v>2558</v>
      </c>
      <c r="E39" s="851">
        <f>SUM(E40:E43)</f>
        <v>16417</v>
      </c>
      <c r="F39" s="1302">
        <f t="shared" ref="F39:N39" si="15">SUM(F40:F47)</f>
        <v>6206</v>
      </c>
      <c r="G39" s="851">
        <f t="shared" si="15"/>
        <v>22623</v>
      </c>
      <c r="H39" s="851">
        <f t="shared" si="15"/>
        <v>0</v>
      </c>
      <c r="I39" s="851">
        <f t="shared" si="15"/>
        <v>22623</v>
      </c>
      <c r="J39" s="851">
        <f t="shared" si="15"/>
        <v>1780</v>
      </c>
      <c r="K39" s="851">
        <f t="shared" si="15"/>
        <v>24403</v>
      </c>
      <c r="L39" s="845">
        <f>SUM(L40:L47)</f>
        <v>22500</v>
      </c>
      <c r="M39" s="1523">
        <f t="shared" si="1"/>
        <v>0.92201778469860263</v>
      </c>
      <c r="N39" s="851">
        <f t="shared" si="15"/>
        <v>24403</v>
      </c>
      <c r="O39" s="856"/>
      <c r="P39" s="852"/>
    </row>
    <row r="40" spans="1:16" s="606" customFormat="1" ht="25.5" customHeight="1">
      <c r="A40" s="605"/>
      <c r="B40" s="611" t="s">
        <v>525</v>
      </c>
      <c r="C40" s="853">
        <v>5600</v>
      </c>
      <c r="D40" s="853"/>
      <c r="E40" s="853">
        <f>C40+D40</f>
        <v>5600</v>
      </c>
      <c r="F40" s="1303"/>
      <c r="G40" s="853">
        <f>E40+F40</f>
        <v>5600</v>
      </c>
      <c r="H40" s="853"/>
      <c r="I40" s="853">
        <f t="shared" ref="I40:K47" si="16">G40+H40</f>
        <v>5600</v>
      </c>
      <c r="J40" s="853">
        <v>0</v>
      </c>
      <c r="K40" s="853">
        <f t="shared" si="16"/>
        <v>5600</v>
      </c>
      <c r="L40" s="853">
        <v>5600</v>
      </c>
      <c r="M40" s="1524">
        <f t="shared" si="1"/>
        <v>1</v>
      </c>
      <c r="N40" s="853">
        <f>E40</f>
        <v>5600</v>
      </c>
      <c r="O40" s="848"/>
      <c r="P40" s="849"/>
    </row>
    <row r="41" spans="1:16" s="606" customFormat="1" ht="25.5" customHeight="1">
      <c r="A41" s="605"/>
      <c r="B41" s="611" t="s">
        <v>490</v>
      </c>
      <c r="C41" s="853">
        <v>8259</v>
      </c>
      <c r="D41" s="853"/>
      <c r="E41" s="853">
        <f>C41+D41</f>
        <v>8259</v>
      </c>
      <c r="F41" s="1303"/>
      <c r="G41" s="853">
        <f>E41+F41</f>
        <v>8259</v>
      </c>
      <c r="H41" s="853"/>
      <c r="I41" s="853">
        <f t="shared" si="16"/>
        <v>8259</v>
      </c>
      <c r="J41" s="853"/>
      <c r="K41" s="853">
        <f t="shared" si="16"/>
        <v>8259</v>
      </c>
      <c r="L41" s="853">
        <v>8259</v>
      </c>
      <c r="M41" s="1524">
        <f t="shared" si="1"/>
        <v>1</v>
      </c>
      <c r="N41" s="853">
        <f>E41</f>
        <v>8259</v>
      </c>
      <c r="O41" s="848"/>
      <c r="P41" s="849"/>
    </row>
    <row r="42" spans="1:16" s="606" customFormat="1" ht="25.5" customHeight="1">
      <c r="A42" s="605"/>
      <c r="B42" s="1035" t="s">
        <v>924</v>
      </c>
      <c r="C42" s="853"/>
      <c r="D42" s="853">
        <v>1903</v>
      </c>
      <c r="E42" s="853">
        <v>1903</v>
      </c>
      <c r="F42" s="1303"/>
      <c r="G42" s="853">
        <f>E42+F42</f>
        <v>1903</v>
      </c>
      <c r="H42" s="853"/>
      <c r="I42" s="853">
        <f t="shared" si="16"/>
        <v>1903</v>
      </c>
      <c r="J42" s="853"/>
      <c r="K42" s="853">
        <f t="shared" si="16"/>
        <v>1903</v>
      </c>
      <c r="L42" s="855"/>
      <c r="M42" s="1524">
        <f t="shared" si="1"/>
        <v>0</v>
      </c>
      <c r="N42" s="853">
        <f>E42</f>
        <v>1903</v>
      </c>
      <c r="O42" s="850"/>
      <c r="P42" s="849"/>
    </row>
    <row r="43" spans="1:16" s="606" customFormat="1" ht="25.5" customHeight="1">
      <c r="A43" s="605"/>
      <c r="B43" s="1035" t="s">
        <v>944</v>
      </c>
      <c r="C43" s="853"/>
      <c r="D43" s="853">
        <v>655</v>
      </c>
      <c r="E43" s="853">
        <v>655</v>
      </c>
      <c r="F43" s="1303">
        <v>3475</v>
      </c>
      <c r="G43" s="853">
        <f>E43+F43</f>
        <v>4130</v>
      </c>
      <c r="H43" s="853"/>
      <c r="I43" s="853">
        <f t="shared" si="16"/>
        <v>4130</v>
      </c>
      <c r="J43" s="853"/>
      <c r="K43" s="853">
        <f t="shared" si="16"/>
        <v>4130</v>
      </c>
      <c r="L43" s="853">
        <v>4130</v>
      </c>
      <c r="M43" s="1524">
        <f t="shared" si="1"/>
        <v>1</v>
      </c>
      <c r="N43" s="853">
        <v>4130</v>
      </c>
      <c r="O43" s="850"/>
      <c r="P43" s="849"/>
    </row>
    <row r="44" spans="1:16" s="606" customFormat="1" ht="25.5" customHeight="1">
      <c r="A44" s="605"/>
      <c r="B44" s="1035" t="s">
        <v>943</v>
      </c>
      <c r="C44" s="853"/>
      <c r="D44" s="853"/>
      <c r="E44" s="853"/>
      <c r="F44" s="1303"/>
      <c r="G44" s="853"/>
      <c r="H44" s="853"/>
      <c r="I44" s="853"/>
      <c r="J44" s="1365">
        <v>4511</v>
      </c>
      <c r="K44" s="853">
        <v>4511</v>
      </c>
      <c r="L44" s="853">
        <v>4511</v>
      </c>
      <c r="M44" s="1524">
        <f t="shared" si="1"/>
        <v>1</v>
      </c>
      <c r="N44" s="853">
        <v>4511</v>
      </c>
      <c r="O44" s="850"/>
      <c r="P44" s="849"/>
    </row>
    <row r="45" spans="1:16" s="606" customFormat="1" ht="25.5" customHeight="1">
      <c r="A45" s="605"/>
      <c r="B45" s="568" t="s">
        <v>876</v>
      </c>
      <c r="C45" s="853"/>
      <c r="D45" s="853"/>
      <c r="E45" s="853">
        <v>0</v>
      </c>
      <c r="F45" s="853">
        <v>1500</v>
      </c>
      <c r="G45" s="853">
        <v>1500</v>
      </c>
      <c r="H45" s="853"/>
      <c r="I45" s="853">
        <f t="shared" si="16"/>
        <v>1500</v>
      </c>
      <c r="J45" s="1365">
        <v>-1500</v>
      </c>
      <c r="K45" s="853">
        <f t="shared" si="16"/>
        <v>0</v>
      </c>
      <c r="L45" s="853"/>
      <c r="M45" s="1524"/>
      <c r="N45" s="853">
        <v>0</v>
      </c>
      <c r="O45" s="848"/>
      <c r="P45" s="849"/>
    </row>
    <row r="46" spans="1:16" s="606" customFormat="1" ht="25.5" customHeight="1">
      <c r="A46" s="605"/>
      <c r="B46" s="612" t="s">
        <v>880</v>
      </c>
      <c r="C46" s="853"/>
      <c r="D46" s="853"/>
      <c r="E46" s="853">
        <v>0</v>
      </c>
      <c r="F46" s="853">
        <v>918</v>
      </c>
      <c r="G46" s="853">
        <v>918</v>
      </c>
      <c r="H46" s="853"/>
      <c r="I46" s="853">
        <f t="shared" si="16"/>
        <v>918</v>
      </c>
      <c r="J46" s="1365">
        <v>-918</v>
      </c>
      <c r="K46" s="853">
        <f t="shared" si="16"/>
        <v>0</v>
      </c>
      <c r="L46" s="853"/>
      <c r="M46" s="1524"/>
      <c r="N46" s="850">
        <v>0</v>
      </c>
      <c r="O46" s="850"/>
      <c r="P46" s="849"/>
    </row>
    <row r="47" spans="1:16" s="606" customFormat="1" ht="25.5" customHeight="1" thickBot="1">
      <c r="A47" s="622"/>
      <c r="B47" s="1330" t="s">
        <v>881</v>
      </c>
      <c r="C47" s="869"/>
      <c r="D47" s="869"/>
      <c r="E47" s="869">
        <v>0</v>
      </c>
      <c r="F47" s="869">
        <v>313</v>
      </c>
      <c r="G47" s="869">
        <v>313</v>
      </c>
      <c r="H47" s="869"/>
      <c r="I47" s="869">
        <f t="shared" si="16"/>
        <v>313</v>
      </c>
      <c r="J47" s="1371">
        <v>-313</v>
      </c>
      <c r="K47" s="869">
        <f t="shared" si="16"/>
        <v>0</v>
      </c>
      <c r="L47" s="869"/>
      <c r="M47" s="1527"/>
      <c r="N47" s="1331">
        <v>0</v>
      </c>
      <c r="O47" s="1331"/>
      <c r="P47" s="871"/>
    </row>
    <row r="48" spans="1:16" s="602" customFormat="1" ht="37.5" customHeight="1">
      <c r="A48" s="617" t="s">
        <v>945</v>
      </c>
      <c r="B48" s="618" t="s">
        <v>946</v>
      </c>
      <c r="C48" s="864"/>
      <c r="D48" s="864">
        <f>SUM(D49:D53)</f>
        <v>531311</v>
      </c>
      <c r="E48" s="864">
        <f>SUM(E49:E53)</f>
        <v>161967</v>
      </c>
      <c r="F48" s="1316">
        <f>SUM(F49:F57)</f>
        <v>333106</v>
      </c>
      <c r="G48" s="864">
        <f>SUM(G49:G57)</f>
        <v>523816</v>
      </c>
      <c r="H48" s="864">
        <f>SUM(H49:H57)</f>
        <v>24025</v>
      </c>
      <c r="I48" s="864"/>
      <c r="J48" s="1372">
        <f>SUM(J49:J52)</f>
        <v>173518</v>
      </c>
      <c r="K48" s="864">
        <f t="shared" ref="K48:N48" si="17">SUM(K49:K52)</f>
        <v>173518</v>
      </c>
      <c r="L48" s="864">
        <f>SUM(L49:L52)</f>
        <v>173518</v>
      </c>
      <c r="M48" s="1523">
        <f t="shared" si="1"/>
        <v>1</v>
      </c>
      <c r="N48" s="864">
        <f t="shared" si="17"/>
        <v>173518</v>
      </c>
      <c r="O48" s="1380"/>
      <c r="P48" s="865"/>
    </row>
    <row r="49" spans="1:22" s="606" customFormat="1" ht="18.95" customHeight="1">
      <c r="A49" s="605"/>
      <c r="B49" s="612" t="s">
        <v>947</v>
      </c>
      <c r="C49" s="847"/>
      <c r="D49" s="847">
        <v>461054</v>
      </c>
      <c r="E49" s="847">
        <v>0</v>
      </c>
      <c r="F49" s="847">
        <v>146848</v>
      </c>
      <c r="G49" s="847">
        <v>146848</v>
      </c>
      <c r="H49" s="847"/>
      <c r="I49" s="847"/>
      <c r="J49" s="1368">
        <v>146848</v>
      </c>
      <c r="K49" s="847">
        <f t="shared" ref="K49:K52" si="18">I49+J49</f>
        <v>146848</v>
      </c>
      <c r="L49" s="855">
        <v>146848</v>
      </c>
      <c r="M49" s="1524">
        <f t="shared" si="1"/>
        <v>1</v>
      </c>
      <c r="N49" s="853">
        <v>146848</v>
      </c>
      <c r="O49" s="848"/>
      <c r="P49" s="849"/>
    </row>
    <row r="50" spans="1:22" s="606" customFormat="1" ht="18.95" customHeight="1">
      <c r="A50" s="605"/>
      <c r="B50" s="568" t="s">
        <v>875</v>
      </c>
      <c r="C50" s="855"/>
      <c r="D50" s="855">
        <v>6407</v>
      </c>
      <c r="E50" s="853">
        <v>11084</v>
      </c>
      <c r="F50" s="853">
        <v>2938</v>
      </c>
      <c r="G50" s="853">
        <f t="shared" ref="G50:G51" si="19">E50+F50</f>
        <v>14022</v>
      </c>
      <c r="H50" s="853">
        <v>1469</v>
      </c>
      <c r="I50" s="853"/>
      <c r="J50" s="1365">
        <f>15491+1445</f>
        <v>16936</v>
      </c>
      <c r="K50" s="847">
        <f t="shared" si="18"/>
        <v>16936</v>
      </c>
      <c r="L50" s="853">
        <f>17740-804</f>
        <v>16936</v>
      </c>
      <c r="M50" s="1524">
        <f t="shared" si="1"/>
        <v>1</v>
      </c>
      <c r="N50" s="853">
        <v>16936</v>
      </c>
      <c r="O50" s="848"/>
      <c r="P50" s="849"/>
    </row>
    <row r="51" spans="1:22" s="606" customFormat="1" ht="18.95" customHeight="1">
      <c r="A51" s="605"/>
      <c r="B51" s="1036" t="s">
        <v>948</v>
      </c>
      <c r="C51" s="847"/>
      <c r="D51" s="847">
        <v>4088</v>
      </c>
      <c r="E51" s="847">
        <v>6296</v>
      </c>
      <c r="F51" s="847">
        <v>1749</v>
      </c>
      <c r="G51" s="853">
        <f t="shared" si="19"/>
        <v>8045</v>
      </c>
      <c r="H51" s="853"/>
      <c r="I51" s="853"/>
      <c r="J51" s="1365">
        <f>8045+522</f>
        <v>8567</v>
      </c>
      <c r="K51" s="853">
        <f t="shared" si="18"/>
        <v>8567</v>
      </c>
      <c r="L51" s="855">
        <v>8567</v>
      </c>
      <c r="M51" s="1524">
        <f t="shared" si="1"/>
        <v>1</v>
      </c>
      <c r="N51" s="853">
        <v>8567</v>
      </c>
      <c r="O51" s="850"/>
      <c r="P51" s="849"/>
    </row>
    <row r="52" spans="1:22" s="1305" customFormat="1" ht="18.95" customHeight="1">
      <c r="A52" s="605"/>
      <c r="B52" s="1036" t="s">
        <v>949</v>
      </c>
      <c r="C52" s="847"/>
      <c r="D52" s="847"/>
      <c r="E52" s="847"/>
      <c r="F52" s="847">
        <v>1167</v>
      </c>
      <c r="G52" s="847">
        <v>1167</v>
      </c>
      <c r="H52" s="847"/>
      <c r="I52" s="847"/>
      <c r="J52" s="1368">
        <v>1167</v>
      </c>
      <c r="K52" s="853">
        <f t="shared" si="18"/>
        <v>1167</v>
      </c>
      <c r="L52" s="855">
        <v>1167</v>
      </c>
      <c r="M52" s="1524">
        <f t="shared" si="1"/>
        <v>1</v>
      </c>
      <c r="N52" s="848">
        <v>1167</v>
      </c>
      <c r="O52" s="847"/>
      <c r="P52" s="849"/>
      <c r="Q52" s="631"/>
      <c r="R52" s="631"/>
      <c r="S52" s="631"/>
      <c r="T52" s="631"/>
      <c r="U52" s="631"/>
      <c r="V52" s="631"/>
    </row>
    <row r="53" spans="1:22" s="602" customFormat="1" ht="33" customHeight="1">
      <c r="A53" s="603" t="s">
        <v>427</v>
      </c>
      <c r="B53" s="604" t="s">
        <v>428</v>
      </c>
      <c r="C53" s="851">
        <f>SUM(C54:C61)</f>
        <v>46368</v>
      </c>
      <c r="D53" s="851">
        <f>SUM(D54:D62)</f>
        <v>59762</v>
      </c>
      <c r="E53" s="851">
        <f>SUM(E54:E65)</f>
        <v>144587</v>
      </c>
      <c r="F53" s="851">
        <f t="shared" ref="F53:K53" si="20">SUM(F54:F68)</f>
        <v>173422</v>
      </c>
      <c r="G53" s="851">
        <f t="shared" si="20"/>
        <v>318009</v>
      </c>
      <c r="H53" s="851">
        <f t="shared" si="20"/>
        <v>15556</v>
      </c>
      <c r="I53" s="851">
        <f t="shared" si="20"/>
        <v>333565</v>
      </c>
      <c r="J53" s="1366">
        <f>SUM(J54:J68)</f>
        <v>-144648</v>
      </c>
      <c r="K53" s="851">
        <f t="shared" si="20"/>
        <v>188917</v>
      </c>
      <c r="L53" s="851">
        <f>SUM(L54:L68)</f>
        <v>159289</v>
      </c>
      <c r="M53" s="1523">
        <f t="shared" si="1"/>
        <v>0.8431692224627747</v>
      </c>
      <c r="N53" s="851">
        <f>SUM(N55:N68)</f>
        <v>106496</v>
      </c>
      <c r="O53" s="851">
        <f>SUM(O54:O65)</f>
        <v>82421</v>
      </c>
      <c r="P53" s="852"/>
    </row>
    <row r="54" spans="1:22" s="606" customFormat="1" ht="18.95" customHeight="1">
      <c r="A54" s="605"/>
      <c r="B54" s="612" t="s">
        <v>554</v>
      </c>
      <c r="C54" s="853">
        <v>8604</v>
      </c>
      <c r="D54" s="853"/>
      <c r="E54" s="853">
        <f t="shared" ref="E54:E61" si="21">C54+D54</f>
        <v>8604</v>
      </c>
      <c r="F54" s="1303">
        <v>1401</v>
      </c>
      <c r="G54" s="853">
        <f t="shared" ref="G54:G62" si="22">E54+F54</f>
        <v>10005</v>
      </c>
      <c r="H54" s="853"/>
      <c r="I54" s="853">
        <f t="shared" ref="I54:K68" si="23">G54+H54</f>
        <v>10005</v>
      </c>
      <c r="J54" s="1365"/>
      <c r="K54" s="853">
        <f t="shared" si="23"/>
        <v>10005</v>
      </c>
      <c r="L54" s="855">
        <v>10005</v>
      </c>
      <c r="M54" s="1524">
        <f t="shared" si="1"/>
        <v>1</v>
      </c>
      <c r="N54" s="848"/>
      <c r="O54" s="853">
        <v>10005</v>
      </c>
      <c r="P54" s="849"/>
    </row>
    <row r="55" spans="1:22" s="606" customFormat="1" ht="18.95" customHeight="1">
      <c r="A55" s="605"/>
      <c r="B55" s="612" t="s">
        <v>553</v>
      </c>
      <c r="C55" s="853">
        <v>374</v>
      </c>
      <c r="D55" s="853"/>
      <c r="E55" s="853">
        <v>757</v>
      </c>
      <c r="F55" s="853">
        <v>757</v>
      </c>
      <c r="G55" s="853">
        <f t="shared" si="22"/>
        <v>1514</v>
      </c>
      <c r="H55" s="853"/>
      <c r="I55" s="853">
        <f t="shared" si="23"/>
        <v>1514</v>
      </c>
      <c r="J55" s="1365"/>
      <c r="K55" s="853">
        <f t="shared" si="23"/>
        <v>1514</v>
      </c>
      <c r="L55" s="855">
        <v>1514</v>
      </c>
      <c r="M55" s="1524">
        <f t="shared" si="1"/>
        <v>1</v>
      </c>
      <c r="N55" s="848"/>
      <c r="O55" s="853">
        <v>1514</v>
      </c>
      <c r="P55" s="849"/>
    </row>
    <row r="56" spans="1:22" s="606" customFormat="1" ht="36.950000000000003" customHeight="1">
      <c r="A56" s="605"/>
      <c r="B56" s="611" t="s">
        <v>552</v>
      </c>
      <c r="C56" s="853">
        <v>786</v>
      </c>
      <c r="D56" s="853"/>
      <c r="E56" s="853">
        <v>17282</v>
      </c>
      <c r="F56" s="853">
        <v>4824</v>
      </c>
      <c r="G56" s="853">
        <f t="shared" si="22"/>
        <v>22106</v>
      </c>
      <c r="H56" s="853">
        <v>7000</v>
      </c>
      <c r="I56" s="853">
        <f t="shared" si="23"/>
        <v>29106</v>
      </c>
      <c r="J56" s="1365">
        <v>-689</v>
      </c>
      <c r="K56" s="853">
        <f t="shared" si="23"/>
        <v>28417</v>
      </c>
      <c r="L56" s="855">
        <f>29279</f>
        <v>29279</v>
      </c>
      <c r="M56" s="1524">
        <f t="shared" si="1"/>
        <v>1.0303339550269206</v>
      </c>
      <c r="N56" s="848"/>
      <c r="O56" s="853">
        <v>28417</v>
      </c>
      <c r="P56" s="849"/>
    </row>
    <row r="57" spans="1:22" s="606" customFormat="1" ht="18.95" customHeight="1">
      <c r="A57" s="605"/>
      <c r="B57" s="612" t="s">
        <v>551</v>
      </c>
      <c r="C57" s="853">
        <v>2100</v>
      </c>
      <c r="D57" s="853"/>
      <c r="E57" s="853">
        <f t="shared" si="21"/>
        <v>2100</v>
      </c>
      <c r="F57" s="853"/>
      <c r="G57" s="853">
        <f t="shared" si="22"/>
        <v>2100</v>
      </c>
      <c r="H57" s="853"/>
      <c r="I57" s="853">
        <f t="shared" si="23"/>
        <v>2100</v>
      </c>
      <c r="J57" s="1365">
        <v>742</v>
      </c>
      <c r="K57" s="853">
        <f>I57+J57</f>
        <v>2842</v>
      </c>
      <c r="L57" s="853">
        <v>2842</v>
      </c>
      <c r="M57" s="1524">
        <f t="shared" si="1"/>
        <v>1</v>
      </c>
      <c r="N57" s="848"/>
      <c r="O57" s="853">
        <v>2842</v>
      </c>
      <c r="P57" s="849"/>
    </row>
    <row r="58" spans="1:22" s="606" customFormat="1" ht="18.95" customHeight="1">
      <c r="A58" s="605"/>
      <c r="B58" s="612" t="s">
        <v>550</v>
      </c>
      <c r="C58" s="853">
        <v>4879</v>
      </c>
      <c r="D58" s="853"/>
      <c r="E58" s="853">
        <v>7163</v>
      </c>
      <c r="F58" s="853">
        <v>2855</v>
      </c>
      <c r="G58" s="853">
        <f t="shared" si="22"/>
        <v>10018</v>
      </c>
      <c r="H58" s="853"/>
      <c r="I58" s="853">
        <f t="shared" si="23"/>
        <v>10018</v>
      </c>
      <c r="J58" s="1365"/>
      <c r="K58" s="853">
        <f t="shared" si="23"/>
        <v>10018</v>
      </c>
      <c r="L58" s="855">
        <v>10018</v>
      </c>
      <c r="M58" s="1524">
        <f t="shared" si="1"/>
        <v>1</v>
      </c>
      <c r="N58" s="848"/>
      <c r="O58" s="853">
        <v>10018</v>
      </c>
      <c r="P58" s="849"/>
    </row>
    <row r="59" spans="1:22" s="606" customFormat="1" ht="18.95" customHeight="1">
      <c r="A59" s="605"/>
      <c r="B59" s="612" t="s">
        <v>549</v>
      </c>
      <c r="C59" s="853"/>
      <c r="D59" s="853"/>
      <c r="E59" s="853">
        <f t="shared" si="21"/>
        <v>0</v>
      </c>
      <c r="F59" s="1236"/>
      <c r="G59" s="853">
        <f t="shared" si="22"/>
        <v>0</v>
      </c>
      <c r="H59" s="853"/>
      <c r="I59" s="853">
        <f t="shared" si="23"/>
        <v>0</v>
      </c>
      <c r="J59" s="1365"/>
      <c r="K59" s="853">
        <f t="shared" si="23"/>
        <v>0</v>
      </c>
      <c r="L59" s="853"/>
      <c r="M59" s="1524"/>
      <c r="N59" s="848"/>
      <c r="O59" s="853"/>
      <c r="P59" s="849"/>
    </row>
    <row r="60" spans="1:22" s="606" customFormat="1" ht="18.95" customHeight="1">
      <c r="A60" s="605"/>
      <c r="B60" s="612" t="s">
        <v>567</v>
      </c>
      <c r="C60" s="853"/>
      <c r="D60" s="853">
        <v>55674</v>
      </c>
      <c r="E60" s="853">
        <v>70410</v>
      </c>
      <c r="F60" s="853">
        <v>4250</v>
      </c>
      <c r="G60" s="853">
        <f t="shared" si="22"/>
        <v>74660</v>
      </c>
      <c r="H60" s="853">
        <v>1173</v>
      </c>
      <c r="I60" s="853">
        <f t="shared" si="23"/>
        <v>75833</v>
      </c>
      <c r="J60" s="1365">
        <v>10458</v>
      </c>
      <c r="K60" s="853">
        <f t="shared" si="23"/>
        <v>86291</v>
      </c>
      <c r="L60" s="853">
        <v>86291</v>
      </c>
      <c r="M60" s="1524">
        <f t="shared" si="1"/>
        <v>1</v>
      </c>
      <c r="N60" s="848">
        <v>86291</v>
      </c>
      <c r="O60" s="853"/>
      <c r="P60" s="849"/>
    </row>
    <row r="61" spans="1:22" s="606" customFormat="1" ht="36.950000000000003" customHeight="1">
      <c r="A61" s="605"/>
      <c r="B61" s="1711" t="s">
        <v>813</v>
      </c>
      <c r="C61" s="847">
        <f>'11'!E42</f>
        <v>29625</v>
      </c>
      <c r="D61" s="847"/>
      <c r="E61" s="847">
        <f t="shared" si="21"/>
        <v>29625</v>
      </c>
      <c r="F61" s="1239"/>
      <c r="G61" s="853">
        <f t="shared" si="22"/>
        <v>29625</v>
      </c>
      <c r="H61" s="853"/>
      <c r="I61" s="853">
        <f t="shared" si="23"/>
        <v>29625</v>
      </c>
      <c r="J61" s="1365"/>
      <c r="K61" s="853">
        <f t="shared" si="23"/>
        <v>29625</v>
      </c>
      <c r="L61" s="855"/>
      <c r="M61" s="1524">
        <f t="shared" si="1"/>
        <v>0</v>
      </c>
      <c r="N61" s="848">
        <v>0</v>
      </c>
      <c r="O61" s="847">
        <f>E61</f>
        <v>29625</v>
      </c>
      <c r="P61" s="849"/>
    </row>
    <row r="62" spans="1:22" s="606" customFormat="1" ht="18.95" customHeight="1">
      <c r="A62" s="605"/>
      <c r="B62" s="1036" t="s">
        <v>882</v>
      </c>
      <c r="C62" s="847"/>
      <c r="D62" s="847">
        <v>4088</v>
      </c>
      <c r="E62" s="847">
        <v>6296</v>
      </c>
      <c r="F62" s="847">
        <v>1749</v>
      </c>
      <c r="G62" s="853">
        <f t="shared" si="22"/>
        <v>8045</v>
      </c>
      <c r="H62" s="853"/>
      <c r="I62" s="853">
        <f t="shared" si="23"/>
        <v>8045</v>
      </c>
      <c r="J62" s="1365">
        <v>-8045</v>
      </c>
      <c r="K62" s="853">
        <f t="shared" si="23"/>
        <v>0</v>
      </c>
      <c r="L62" s="853"/>
      <c r="M62" s="1524"/>
      <c r="N62" s="848">
        <v>0</v>
      </c>
      <c r="O62" s="847"/>
      <c r="P62" s="849"/>
    </row>
    <row r="63" spans="1:22" s="606" customFormat="1" ht="18.95" customHeight="1">
      <c r="A63" s="605"/>
      <c r="B63" s="1036" t="s">
        <v>883</v>
      </c>
      <c r="C63" s="847"/>
      <c r="D63" s="847"/>
      <c r="E63" s="847">
        <v>100</v>
      </c>
      <c r="F63" s="847">
        <v>60</v>
      </c>
      <c r="G63" s="847">
        <v>160</v>
      </c>
      <c r="H63" s="847"/>
      <c r="I63" s="847">
        <f t="shared" si="23"/>
        <v>160</v>
      </c>
      <c r="J63" s="1368">
        <v>24</v>
      </c>
      <c r="K63" s="853">
        <f t="shared" si="23"/>
        <v>184</v>
      </c>
      <c r="L63" s="853">
        <v>184</v>
      </c>
      <c r="M63" s="1524">
        <f t="shared" si="1"/>
        <v>1</v>
      </c>
      <c r="N63" s="848">
        <v>184</v>
      </c>
      <c r="O63" s="847"/>
      <c r="P63" s="849"/>
    </row>
    <row r="64" spans="1:22" s="606" customFormat="1" ht="18.95" customHeight="1">
      <c r="A64" s="605"/>
      <c r="B64" s="1036" t="s">
        <v>884</v>
      </c>
      <c r="C64" s="847"/>
      <c r="D64" s="847"/>
      <c r="E64" s="847">
        <v>1500</v>
      </c>
      <c r="F64" s="847">
        <v>1478</v>
      </c>
      <c r="G64" s="847">
        <f>E64+F64</f>
        <v>2978</v>
      </c>
      <c r="H64" s="847"/>
      <c r="I64" s="847">
        <f t="shared" si="23"/>
        <v>2978</v>
      </c>
      <c r="J64" s="1368">
        <v>877</v>
      </c>
      <c r="K64" s="855">
        <f t="shared" si="23"/>
        <v>3855</v>
      </c>
      <c r="L64" s="855">
        <v>1526</v>
      </c>
      <c r="M64" s="1524">
        <f t="shared" si="1"/>
        <v>0.39584954604409855</v>
      </c>
      <c r="N64" s="848">
        <v>3855</v>
      </c>
      <c r="O64" s="847">
        <v>0</v>
      </c>
      <c r="P64" s="849"/>
    </row>
    <row r="65" spans="1:22" s="606" customFormat="1" ht="18.95" customHeight="1">
      <c r="A65" s="613"/>
      <c r="B65" s="1304" t="s">
        <v>885</v>
      </c>
      <c r="C65" s="1260"/>
      <c r="D65" s="1260"/>
      <c r="E65" s="1260">
        <v>750</v>
      </c>
      <c r="F65" s="1260"/>
      <c r="G65" s="1260">
        <v>750</v>
      </c>
      <c r="H65" s="1260"/>
      <c r="I65" s="1260">
        <f t="shared" si="23"/>
        <v>750</v>
      </c>
      <c r="J65" s="1369"/>
      <c r="K65" s="853">
        <f t="shared" si="23"/>
        <v>750</v>
      </c>
      <c r="L65" s="857">
        <v>750</v>
      </c>
      <c r="M65" s="1524">
        <f t="shared" si="1"/>
        <v>1</v>
      </c>
      <c r="N65" s="858">
        <v>750</v>
      </c>
      <c r="O65" s="1260"/>
      <c r="P65" s="859"/>
    </row>
    <row r="66" spans="1:22" s="1305" customFormat="1" ht="18.95" customHeight="1">
      <c r="A66" s="605"/>
      <c r="B66" s="1036" t="s">
        <v>916</v>
      </c>
      <c r="C66" s="847"/>
      <c r="D66" s="847"/>
      <c r="E66" s="847"/>
      <c r="F66" s="847">
        <v>1167</v>
      </c>
      <c r="G66" s="847">
        <v>1167</v>
      </c>
      <c r="H66" s="847"/>
      <c r="I66" s="847">
        <f t="shared" si="23"/>
        <v>1167</v>
      </c>
      <c r="J66" s="1368">
        <v>-1167</v>
      </c>
      <c r="K66" s="853">
        <f t="shared" si="23"/>
        <v>0</v>
      </c>
      <c r="L66" s="853"/>
      <c r="M66" s="1524"/>
      <c r="N66" s="848">
        <v>0</v>
      </c>
      <c r="O66" s="847"/>
      <c r="P66" s="849"/>
      <c r="Q66" s="631"/>
      <c r="R66" s="631"/>
      <c r="S66" s="631"/>
      <c r="T66" s="631"/>
      <c r="U66" s="631"/>
      <c r="V66" s="631"/>
    </row>
    <row r="67" spans="1:22" s="631" customFormat="1" ht="18.95" customHeight="1">
      <c r="A67" s="1328"/>
      <c r="B67" s="1306" t="s">
        <v>918</v>
      </c>
      <c r="C67" s="1307"/>
      <c r="D67" s="1307"/>
      <c r="E67" s="1307"/>
      <c r="F67" s="1307">
        <v>8033</v>
      </c>
      <c r="G67" s="1307">
        <v>8033</v>
      </c>
      <c r="H67" s="1307">
        <v>7383</v>
      </c>
      <c r="I67" s="1307">
        <f t="shared" si="23"/>
        <v>15416</v>
      </c>
      <c r="J67" s="1370"/>
      <c r="K67" s="853">
        <f t="shared" si="23"/>
        <v>15416</v>
      </c>
      <c r="L67" s="1307">
        <v>16880</v>
      </c>
      <c r="M67" s="1524">
        <f t="shared" si="1"/>
        <v>1.0949662688116242</v>
      </c>
      <c r="N67" s="1308">
        <v>15416</v>
      </c>
      <c r="O67" s="1307"/>
      <c r="P67" s="1329"/>
    </row>
    <row r="68" spans="1:22" s="606" customFormat="1" ht="18.95" customHeight="1" thickBot="1">
      <c r="A68" s="622"/>
      <c r="B68" s="1330" t="s">
        <v>839</v>
      </c>
      <c r="C68" s="869"/>
      <c r="D68" s="869">
        <v>461054</v>
      </c>
      <c r="E68" s="869">
        <v>0</v>
      </c>
      <c r="F68" s="869">
        <v>146848</v>
      </c>
      <c r="G68" s="869">
        <v>146848</v>
      </c>
      <c r="H68" s="869"/>
      <c r="I68" s="869">
        <f t="shared" si="23"/>
        <v>146848</v>
      </c>
      <c r="J68" s="1371">
        <v>-146848</v>
      </c>
      <c r="K68" s="857">
        <f t="shared" si="23"/>
        <v>0</v>
      </c>
      <c r="L68" s="869"/>
      <c r="M68" s="1531"/>
      <c r="N68" s="1331">
        <v>0</v>
      </c>
      <c r="O68" s="1331"/>
      <c r="P68" s="871"/>
    </row>
    <row r="69" spans="1:22" s="606" customFormat="1" ht="33.75" thickBot="1">
      <c r="A69" s="598" t="s">
        <v>369</v>
      </c>
      <c r="B69" s="1450" t="s">
        <v>919</v>
      </c>
      <c r="C69" s="860">
        <v>417106</v>
      </c>
      <c r="D69" s="860"/>
      <c r="E69" s="860">
        <v>982690</v>
      </c>
      <c r="F69" s="860">
        <f t="shared" ref="F69:N69" si="24">F70+F78</f>
        <v>-146848</v>
      </c>
      <c r="G69" s="860">
        <f t="shared" si="24"/>
        <v>835842</v>
      </c>
      <c r="H69" s="860">
        <f t="shared" si="24"/>
        <v>0</v>
      </c>
      <c r="I69" s="860">
        <f t="shared" si="24"/>
        <v>835842</v>
      </c>
      <c r="J69" s="860">
        <f>J70+J78</f>
        <v>2731</v>
      </c>
      <c r="K69" s="841">
        <f t="shared" si="24"/>
        <v>838573</v>
      </c>
      <c r="L69" s="841">
        <f>L70+L78</f>
        <v>458605</v>
      </c>
      <c r="M69" s="1505">
        <f t="shared" ref="M69:M131" si="25">L69/K69</f>
        <v>0.54688739084134597</v>
      </c>
      <c r="N69" s="1451">
        <f t="shared" si="24"/>
        <v>813365</v>
      </c>
      <c r="O69" s="1451">
        <f>O78</f>
        <v>25208</v>
      </c>
      <c r="P69" s="1452"/>
    </row>
    <row r="70" spans="1:22" s="602" customFormat="1" ht="37.5" customHeight="1">
      <c r="A70" s="1318" t="s">
        <v>429</v>
      </c>
      <c r="B70" s="1319" t="s">
        <v>430</v>
      </c>
      <c r="C70" s="1320"/>
      <c r="D70" s="1320">
        <f>D71+D72</f>
        <v>461054</v>
      </c>
      <c r="E70" s="1320">
        <f>SUM(E71:E73)</f>
        <v>468954</v>
      </c>
      <c r="F70" s="1320">
        <f t="shared" ref="F70:I70" si="26">SUM(F71:F74)</f>
        <v>-145449</v>
      </c>
      <c r="G70" s="1320">
        <f t="shared" si="26"/>
        <v>323505</v>
      </c>
      <c r="H70" s="1320">
        <f t="shared" si="26"/>
        <v>27</v>
      </c>
      <c r="I70" s="1320">
        <f t="shared" si="26"/>
        <v>323532</v>
      </c>
      <c r="J70" s="1320">
        <f>SUM(J71:J77)</f>
        <v>2731</v>
      </c>
      <c r="K70" s="1320">
        <f>SUM(K71:K77)</f>
        <v>326263</v>
      </c>
      <c r="L70" s="1320">
        <f>SUM(L71:L77)</f>
        <v>338319</v>
      </c>
      <c r="M70" s="1530">
        <f t="shared" si="25"/>
        <v>1.0369517842967177</v>
      </c>
      <c r="N70" s="1320">
        <f>SUM(N71:N77)</f>
        <v>326263</v>
      </c>
      <c r="O70" s="1320"/>
      <c r="P70" s="1321"/>
    </row>
    <row r="71" spans="1:22" s="606" customFormat="1" ht="18.95" customHeight="1">
      <c r="A71" s="605"/>
      <c r="B71" s="612" t="s">
        <v>548</v>
      </c>
      <c r="C71" s="853">
        <v>0</v>
      </c>
      <c r="D71" s="853"/>
      <c r="E71" s="853">
        <f>C71+D71</f>
        <v>0</v>
      </c>
      <c r="F71" s="853"/>
      <c r="G71" s="853">
        <f>E71+F71</f>
        <v>0</v>
      </c>
      <c r="H71" s="853"/>
      <c r="I71" s="853">
        <f>G71+H71</f>
        <v>0</v>
      </c>
      <c r="J71" s="853"/>
      <c r="K71" s="853">
        <f>I71+J71</f>
        <v>0</v>
      </c>
      <c r="L71" s="853"/>
      <c r="M71" s="1524"/>
      <c r="N71" s="848"/>
      <c r="O71" s="848"/>
      <c r="P71" s="849"/>
    </row>
    <row r="72" spans="1:22" s="606" customFormat="1" ht="18.95" customHeight="1">
      <c r="A72" s="605"/>
      <c r="B72" s="612" t="s">
        <v>839</v>
      </c>
      <c r="C72" s="853"/>
      <c r="D72" s="853">
        <v>461054</v>
      </c>
      <c r="E72" s="853">
        <v>461054</v>
      </c>
      <c r="F72" s="853">
        <v>-146848</v>
      </c>
      <c r="G72" s="853">
        <f>E72+F72</f>
        <v>314206</v>
      </c>
      <c r="H72" s="853"/>
      <c r="I72" s="853">
        <f>G72+H72</f>
        <v>314206</v>
      </c>
      <c r="J72" s="853"/>
      <c r="K72" s="853">
        <f>I72+J72</f>
        <v>314206</v>
      </c>
      <c r="L72" s="1673">
        <f>314206+14787</f>
        <v>328993</v>
      </c>
      <c r="M72" s="1524">
        <f t="shared" si="25"/>
        <v>1.0470614819576964</v>
      </c>
      <c r="N72" s="850">
        <v>314206</v>
      </c>
      <c r="O72" s="850"/>
      <c r="P72" s="849"/>
    </row>
    <row r="73" spans="1:22" s="606" customFormat="1" ht="18.95" customHeight="1">
      <c r="A73" s="605"/>
      <c r="B73" s="612" t="s">
        <v>877</v>
      </c>
      <c r="C73" s="853"/>
      <c r="D73" s="853"/>
      <c r="E73" s="853">
        <v>7900</v>
      </c>
      <c r="F73" s="853">
        <v>0</v>
      </c>
      <c r="G73" s="853">
        <v>7900</v>
      </c>
      <c r="H73" s="853"/>
      <c r="I73" s="853">
        <f>G73+H73</f>
        <v>7900</v>
      </c>
      <c r="J73" s="853"/>
      <c r="K73" s="853">
        <f>I73+J73</f>
        <v>7900</v>
      </c>
      <c r="L73" s="853">
        <v>7900</v>
      </c>
      <c r="M73" s="1524">
        <f t="shared" si="25"/>
        <v>1</v>
      </c>
      <c r="N73" s="850">
        <v>7900</v>
      </c>
      <c r="O73" s="850"/>
      <c r="P73" s="849"/>
    </row>
    <row r="74" spans="1:22" s="606" customFormat="1" ht="36.950000000000003" customHeight="1">
      <c r="A74" s="1075"/>
      <c r="B74" s="559" t="s">
        <v>515</v>
      </c>
      <c r="C74" s="847">
        <v>0</v>
      </c>
      <c r="D74" s="847"/>
      <c r="E74" s="847">
        <v>0</v>
      </c>
      <c r="F74" s="847">
        <v>1399</v>
      </c>
      <c r="G74" s="853">
        <f>E74+F74</f>
        <v>1399</v>
      </c>
      <c r="H74" s="853">
        <v>27</v>
      </c>
      <c r="I74" s="853">
        <f>G74+H74</f>
        <v>1426</v>
      </c>
      <c r="J74" s="1365"/>
      <c r="K74" s="853">
        <f>I74+J74</f>
        <v>1426</v>
      </c>
      <c r="L74" s="853">
        <v>1426</v>
      </c>
      <c r="M74" s="1524">
        <f t="shared" si="25"/>
        <v>1</v>
      </c>
      <c r="N74" s="853">
        <v>1426</v>
      </c>
      <c r="O74" s="848">
        <v>0</v>
      </c>
      <c r="P74" s="849"/>
    </row>
    <row r="75" spans="1:22" s="606" customFormat="1" ht="18.95" customHeight="1">
      <c r="A75" s="605"/>
      <c r="B75" s="568" t="s">
        <v>876</v>
      </c>
      <c r="C75" s="853"/>
      <c r="D75" s="853"/>
      <c r="E75" s="853">
        <v>0</v>
      </c>
      <c r="F75" s="853">
        <v>1500</v>
      </c>
      <c r="G75" s="853">
        <v>1500</v>
      </c>
      <c r="H75" s="853"/>
      <c r="I75" s="853"/>
      <c r="J75" s="1365">
        <v>1500</v>
      </c>
      <c r="K75" s="853">
        <f t="shared" ref="K75:K77" si="27">I75+J75</f>
        <v>1500</v>
      </c>
      <c r="L75" s="853"/>
      <c r="M75" s="1524">
        <f t="shared" si="25"/>
        <v>0</v>
      </c>
      <c r="N75" s="853">
        <v>1500</v>
      </c>
      <c r="O75" s="848"/>
      <c r="P75" s="849"/>
    </row>
    <row r="76" spans="1:22" s="606" customFormat="1" ht="18.95" customHeight="1">
      <c r="A76" s="605"/>
      <c r="B76" s="612" t="s">
        <v>880</v>
      </c>
      <c r="C76" s="853"/>
      <c r="D76" s="853"/>
      <c r="E76" s="853">
        <v>0</v>
      </c>
      <c r="F76" s="853">
        <v>918</v>
      </c>
      <c r="G76" s="853">
        <v>918</v>
      </c>
      <c r="H76" s="853"/>
      <c r="I76" s="853"/>
      <c r="J76" s="1365">
        <v>918</v>
      </c>
      <c r="K76" s="853">
        <f t="shared" si="27"/>
        <v>918</v>
      </c>
      <c r="L76" s="853"/>
      <c r="M76" s="1524">
        <f t="shared" si="25"/>
        <v>0</v>
      </c>
      <c r="N76" s="850">
        <v>918</v>
      </c>
      <c r="O76" s="850"/>
      <c r="P76" s="849"/>
    </row>
    <row r="77" spans="1:22" s="606" customFormat="1" ht="18.95" customHeight="1">
      <c r="A77" s="605"/>
      <c r="B77" s="612" t="s">
        <v>881</v>
      </c>
      <c r="C77" s="853"/>
      <c r="D77" s="853"/>
      <c r="E77" s="853">
        <v>0</v>
      </c>
      <c r="F77" s="853">
        <v>313</v>
      </c>
      <c r="G77" s="853">
        <v>313</v>
      </c>
      <c r="H77" s="853"/>
      <c r="I77" s="853"/>
      <c r="J77" s="1365">
        <v>313</v>
      </c>
      <c r="K77" s="853">
        <f t="shared" si="27"/>
        <v>313</v>
      </c>
      <c r="L77" s="853"/>
      <c r="M77" s="1524">
        <f t="shared" si="25"/>
        <v>0</v>
      </c>
      <c r="N77" s="850">
        <v>313</v>
      </c>
      <c r="O77" s="850"/>
      <c r="P77" s="849"/>
    </row>
    <row r="78" spans="1:22" s="602" customFormat="1" ht="33.75" customHeight="1">
      <c r="A78" s="603" t="s">
        <v>431</v>
      </c>
      <c r="B78" s="604" t="s">
        <v>824</v>
      </c>
      <c r="C78" s="851">
        <f>SUM(C79:C81)</f>
        <v>417106</v>
      </c>
      <c r="D78" s="851">
        <f t="shared" ref="D78:N78" si="28">SUM(D79:D82)</f>
        <v>95231</v>
      </c>
      <c r="E78" s="851">
        <f t="shared" si="28"/>
        <v>513736</v>
      </c>
      <c r="F78" s="851">
        <f t="shared" si="28"/>
        <v>-1399</v>
      </c>
      <c r="G78" s="851">
        <f t="shared" si="28"/>
        <v>512337</v>
      </c>
      <c r="H78" s="851">
        <f t="shared" si="28"/>
        <v>-27</v>
      </c>
      <c r="I78" s="851">
        <f t="shared" si="28"/>
        <v>512310</v>
      </c>
      <c r="J78" s="1366">
        <f t="shared" si="28"/>
        <v>0</v>
      </c>
      <c r="K78" s="851">
        <f t="shared" si="28"/>
        <v>512310</v>
      </c>
      <c r="L78" s="851">
        <f t="shared" si="28"/>
        <v>120286</v>
      </c>
      <c r="M78" s="1523">
        <f t="shared" si="25"/>
        <v>0.2347914348734165</v>
      </c>
      <c r="N78" s="851">
        <f t="shared" si="28"/>
        <v>487102</v>
      </c>
      <c r="O78" s="851">
        <f>SUM(O79:O81)</f>
        <v>25208</v>
      </c>
      <c r="P78" s="852"/>
    </row>
    <row r="79" spans="1:22" s="606" customFormat="1" ht="36.950000000000003" customHeight="1">
      <c r="A79" s="605"/>
      <c r="B79" s="615" t="s">
        <v>513</v>
      </c>
      <c r="C79" s="853">
        <v>25208</v>
      </c>
      <c r="D79" s="853"/>
      <c r="E79" s="853">
        <f>C79+D79</f>
        <v>25208</v>
      </c>
      <c r="F79" s="853"/>
      <c r="G79" s="853">
        <f>E79+F79</f>
        <v>25208</v>
      </c>
      <c r="H79" s="853"/>
      <c r="I79" s="853">
        <f>G79+H79</f>
        <v>25208</v>
      </c>
      <c r="J79" s="853"/>
      <c r="K79" s="853">
        <f>I79+J79</f>
        <v>25208</v>
      </c>
      <c r="L79" s="853">
        <f>25055</f>
        <v>25055</v>
      </c>
      <c r="M79" s="1524">
        <f t="shared" si="25"/>
        <v>0.9939304982545224</v>
      </c>
      <c r="N79" s="853"/>
      <c r="O79" s="853">
        <v>25208</v>
      </c>
      <c r="P79" s="849"/>
    </row>
    <row r="80" spans="1:22" s="606" customFormat="1" ht="36.950000000000003" customHeight="1">
      <c r="A80" s="605"/>
      <c r="B80" s="559" t="s">
        <v>0</v>
      </c>
      <c r="C80" s="853">
        <v>344045</v>
      </c>
      <c r="D80" s="853"/>
      <c r="E80" s="853">
        <f>C80+D80</f>
        <v>344045</v>
      </c>
      <c r="F80" s="853"/>
      <c r="G80" s="853">
        <f>E80+F80</f>
        <v>344045</v>
      </c>
      <c r="H80" s="853"/>
      <c r="I80" s="853">
        <f>G80+H80</f>
        <v>344045</v>
      </c>
      <c r="J80" s="853"/>
      <c r="K80" s="853">
        <f>I80+J80</f>
        <v>344045</v>
      </c>
      <c r="L80" s="853"/>
      <c r="M80" s="1524">
        <f t="shared" si="25"/>
        <v>0</v>
      </c>
      <c r="N80" s="853">
        <v>344045</v>
      </c>
      <c r="O80" s="853">
        <v>0</v>
      </c>
      <c r="P80" s="863" t="s">
        <v>98</v>
      </c>
    </row>
    <row r="81" spans="1:16" s="606" customFormat="1" ht="36.950000000000003" customHeight="1">
      <c r="A81" s="1075"/>
      <c r="B81" s="559" t="s">
        <v>515</v>
      </c>
      <c r="C81" s="847">
        <v>47853</v>
      </c>
      <c r="D81" s="847"/>
      <c r="E81" s="847">
        <v>49252</v>
      </c>
      <c r="F81" s="847">
        <v>-1399</v>
      </c>
      <c r="G81" s="853">
        <f>E81+F81</f>
        <v>47853</v>
      </c>
      <c r="H81" s="853">
        <v>-27</v>
      </c>
      <c r="I81" s="853">
        <f>G81+H81</f>
        <v>47826</v>
      </c>
      <c r="J81" s="853"/>
      <c r="K81" s="853">
        <f>I81+J81</f>
        <v>47826</v>
      </c>
      <c r="L81" s="853"/>
      <c r="M81" s="1524">
        <f t="shared" si="25"/>
        <v>0</v>
      </c>
      <c r="N81" s="853">
        <v>47826</v>
      </c>
      <c r="O81" s="848">
        <v>0</v>
      </c>
      <c r="P81" s="849"/>
    </row>
    <row r="82" spans="1:16" s="606" customFormat="1" ht="18.95" customHeight="1" thickBot="1">
      <c r="A82" s="1076"/>
      <c r="B82" s="1077" t="s">
        <v>832</v>
      </c>
      <c r="C82" s="1078"/>
      <c r="D82" s="1078">
        <v>95231</v>
      </c>
      <c r="E82" s="1078">
        <v>95231</v>
      </c>
      <c r="F82" s="1240"/>
      <c r="G82" s="853">
        <f>E82+F82</f>
        <v>95231</v>
      </c>
      <c r="H82" s="857"/>
      <c r="I82" s="857">
        <f>G82+H82</f>
        <v>95231</v>
      </c>
      <c r="J82" s="857"/>
      <c r="K82" s="857">
        <f>I82+J82</f>
        <v>95231</v>
      </c>
      <c r="L82" s="857">
        <v>95231</v>
      </c>
      <c r="M82" s="1531">
        <f t="shared" si="25"/>
        <v>1</v>
      </c>
      <c r="N82" s="1078">
        <v>95231</v>
      </c>
      <c r="O82" s="870"/>
      <c r="P82" s="871"/>
    </row>
    <row r="83" spans="1:16" s="602" customFormat="1" ht="31.5" customHeight="1" thickBot="1">
      <c r="A83" s="598" t="s">
        <v>370</v>
      </c>
      <c r="B83" s="616" t="s">
        <v>381</v>
      </c>
      <c r="C83" s="860">
        <f t="shared" ref="C83:O83" si="29">C84+C87+C91</f>
        <v>866100</v>
      </c>
      <c r="D83" s="860">
        <f t="shared" si="29"/>
        <v>0</v>
      </c>
      <c r="E83" s="860">
        <f t="shared" si="29"/>
        <v>866100</v>
      </c>
      <c r="F83" s="1315">
        <f t="shared" si="29"/>
        <v>32000</v>
      </c>
      <c r="G83" s="860">
        <f t="shared" si="29"/>
        <v>898100</v>
      </c>
      <c r="H83" s="860">
        <f>H84+H87+H91</f>
        <v>5500</v>
      </c>
      <c r="I83" s="860">
        <f>I84+I87+I91</f>
        <v>903600</v>
      </c>
      <c r="J83" s="860">
        <f>J84+J87+J91</f>
        <v>258947</v>
      </c>
      <c r="K83" s="860">
        <f>K84+K87+K91</f>
        <v>1162547</v>
      </c>
      <c r="L83" s="860">
        <f>L84+L87+L91</f>
        <v>1018909</v>
      </c>
      <c r="M83" s="1505">
        <f t="shared" si="25"/>
        <v>0.87644542543226212</v>
      </c>
      <c r="N83" s="860">
        <f t="shared" si="29"/>
        <v>81798</v>
      </c>
      <c r="O83" s="860">
        <f t="shared" si="29"/>
        <v>1080749</v>
      </c>
      <c r="P83" s="861"/>
    </row>
    <row r="84" spans="1:16" s="602" customFormat="1" ht="37.5" customHeight="1">
      <c r="A84" s="617" t="s">
        <v>404</v>
      </c>
      <c r="B84" s="618" t="s">
        <v>405</v>
      </c>
      <c r="C84" s="864">
        <f t="shared" ref="C84:O84" si="30">SUM(C85:C86)</f>
        <v>231000</v>
      </c>
      <c r="D84" s="864">
        <f t="shared" si="30"/>
        <v>0</v>
      </c>
      <c r="E84" s="864">
        <f t="shared" si="30"/>
        <v>231000</v>
      </c>
      <c r="F84" s="1316">
        <f t="shared" si="30"/>
        <v>0</v>
      </c>
      <c r="G84" s="864">
        <f t="shared" si="30"/>
        <v>231000</v>
      </c>
      <c r="H84" s="864">
        <f>SUM(H85:H86)</f>
        <v>0</v>
      </c>
      <c r="I84" s="864">
        <f>SUM(I85:I86)</f>
        <v>231000</v>
      </c>
      <c r="J84" s="1372">
        <f>SUM(J85:J86)</f>
        <v>22193</v>
      </c>
      <c r="K84" s="864">
        <f>SUM(K85:K86)</f>
        <v>253193</v>
      </c>
      <c r="L84" s="864">
        <f>SUM(L85:L86)</f>
        <v>234525</v>
      </c>
      <c r="M84" s="1522">
        <f t="shared" si="25"/>
        <v>0.92626968360104744</v>
      </c>
      <c r="N84" s="864">
        <f t="shared" si="30"/>
        <v>0</v>
      </c>
      <c r="O84" s="864">
        <f t="shared" si="30"/>
        <v>253193</v>
      </c>
      <c r="P84" s="865"/>
    </row>
    <row r="85" spans="1:16" s="624" customFormat="1" ht="18.95" customHeight="1">
      <c r="A85" s="619"/>
      <c r="B85" s="620" t="s">
        <v>118</v>
      </c>
      <c r="C85" s="866">
        <v>205000</v>
      </c>
      <c r="D85" s="866"/>
      <c r="E85" s="866">
        <f>C85+D85</f>
        <v>205000</v>
      </c>
      <c r="F85" s="1317"/>
      <c r="G85" s="866">
        <f>E85+F85</f>
        <v>205000</v>
      </c>
      <c r="H85" s="866"/>
      <c r="I85" s="866">
        <f>G85+H85</f>
        <v>205000</v>
      </c>
      <c r="J85" s="1367">
        <f>4565+13843</f>
        <v>18408</v>
      </c>
      <c r="K85" s="866">
        <f>I85+J85</f>
        <v>223408</v>
      </c>
      <c r="L85" s="1613">
        <v>208268</v>
      </c>
      <c r="M85" s="1529">
        <f t="shared" si="25"/>
        <v>0.93223161211773975</v>
      </c>
      <c r="N85" s="867"/>
      <c r="O85" s="866">
        <v>223408</v>
      </c>
      <c r="P85" s="868"/>
    </row>
    <row r="86" spans="1:16" s="624" customFormat="1" ht="18.95" customHeight="1">
      <c r="A86" s="619"/>
      <c r="B86" s="620" t="s">
        <v>119</v>
      </c>
      <c r="C86" s="866">
        <v>26000</v>
      </c>
      <c r="D86" s="866"/>
      <c r="E86" s="866">
        <f>C86+D86</f>
        <v>26000</v>
      </c>
      <c r="F86" s="1317"/>
      <c r="G86" s="866">
        <f>E86+F86</f>
        <v>26000</v>
      </c>
      <c r="H86" s="866"/>
      <c r="I86" s="866">
        <f>G86+H86</f>
        <v>26000</v>
      </c>
      <c r="J86" s="1367">
        <f>560+3225</f>
        <v>3785</v>
      </c>
      <c r="K86" s="866">
        <f>I86+J86</f>
        <v>29785</v>
      </c>
      <c r="L86" s="1613">
        <v>26257</v>
      </c>
      <c r="M86" s="1529">
        <f t="shared" si="25"/>
        <v>0.88155111633372507</v>
      </c>
      <c r="N86" s="867"/>
      <c r="O86" s="866">
        <v>29785</v>
      </c>
      <c r="P86" s="868"/>
    </row>
    <row r="87" spans="1:16" s="602" customFormat="1" ht="37.5" customHeight="1">
      <c r="A87" s="603" t="s">
        <v>414</v>
      </c>
      <c r="B87" s="621" t="s">
        <v>415</v>
      </c>
      <c r="C87" s="851">
        <f t="shared" ref="C87:O87" si="31">SUM(C88:C90)</f>
        <v>626100</v>
      </c>
      <c r="D87" s="851">
        <f t="shared" si="31"/>
        <v>0</v>
      </c>
      <c r="E87" s="851">
        <f t="shared" si="31"/>
        <v>626100</v>
      </c>
      <c r="F87" s="1302">
        <f t="shared" si="31"/>
        <v>30000</v>
      </c>
      <c r="G87" s="851">
        <f t="shared" si="31"/>
        <v>656100</v>
      </c>
      <c r="H87" s="851">
        <f>SUM(H88:H90)</f>
        <v>4000</v>
      </c>
      <c r="I87" s="851">
        <f>SUM(I88:I90)</f>
        <v>660100</v>
      </c>
      <c r="J87" s="1366">
        <f>SUM(J88:J90)</f>
        <v>216495</v>
      </c>
      <c r="K87" s="851">
        <f>SUM(K88:K90)</f>
        <v>876595</v>
      </c>
      <c r="L87" s="1614">
        <f>SUM(L88:L90)</f>
        <v>774203</v>
      </c>
      <c r="M87" s="1523">
        <f t="shared" si="25"/>
        <v>0.88319349300418093</v>
      </c>
      <c r="N87" s="851">
        <f t="shared" si="31"/>
        <v>76866</v>
      </c>
      <c r="O87" s="851">
        <f t="shared" si="31"/>
        <v>799729</v>
      </c>
      <c r="P87" s="852"/>
    </row>
    <row r="88" spans="1:16" s="606" customFormat="1" ht="18.95" customHeight="1">
      <c r="A88" s="605" t="s">
        <v>413</v>
      </c>
      <c r="B88" s="539" t="s">
        <v>120</v>
      </c>
      <c r="C88" s="853">
        <v>570000</v>
      </c>
      <c r="D88" s="853"/>
      <c r="E88" s="853">
        <f>C88+D88</f>
        <v>570000</v>
      </c>
      <c r="F88" s="1303">
        <v>30000</v>
      </c>
      <c r="G88" s="853">
        <f>E88+F88</f>
        <v>600000</v>
      </c>
      <c r="H88" s="853">
        <v>4000</v>
      </c>
      <c r="I88" s="853">
        <f>G88+H88</f>
        <v>604000</v>
      </c>
      <c r="J88" s="1365">
        <f>117000+78729</f>
        <v>195729</v>
      </c>
      <c r="K88" s="853">
        <f>I88+J88</f>
        <v>799729</v>
      </c>
      <c r="L88" s="855">
        <v>720791</v>
      </c>
      <c r="M88" s="1524">
        <f t="shared" si="25"/>
        <v>0.90129406336396456</v>
      </c>
      <c r="N88" s="848"/>
      <c r="O88" s="853">
        <v>799729</v>
      </c>
      <c r="P88" s="849"/>
    </row>
    <row r="89" spans="1:16" s="606" customFormat="1" ht="18.95" customHeight="1">
      <c r="A89" s="605" t="s">
        <v>409</v>
      </c>
      <c r="B89" s="539" t="s">
        <v>412</v>
      </c>
      <c r="C89" s="853">
        <v>56000</v>
      </c>
      <c r="D89" s="853"/>
      <c r="E89" s="853">
        <f>C89+D89</f>
        <v>56000</v>
      </c>
      <c r="F89" s="1236"/>
      <c r="G89" s="853">
        <f>E89+F89</f>
        <v>56000</v>
      </c>
      <c r="H89" s="853"/>
      <c r="I89" s="853">
        <f>G89+H89</f>
        <v>56000</v>
      </c>
      <c r="J89" s="1365">
        <f>-2500+23266</f>
        <v>20766</v>
      </c>
      <c r="K89" s="853">
        <f>I89+J89</f>
        <v>76766</v>
      </c>
      <c r="L89" s="855">
        <v>53405</v>
      </c>
      <c r="M89" s="1524">
        <f t="shared" si="25"/>
        <v>0.6956855899747284</v>
      </c>
      <c r="N89" s="853">
        <v>76766</v>
      </c>
      <c r="O89" s="848"/>
      <c r="P89" s="849"/>
    </row>
    <row r="90" spans="1:16" s="606" customFormat="1" ht="18.95" customHeight="1">
      <c r="A90" s="605" t="s">
        <v>410</v>
      </c>
      <c r="B90" s="539" t="s">
        <v>411</v>
      </c>
      <c r="C90" s="853">
        <v>100</v>
      </c>
      <c r="D90" s="853"/>
      <c r="E90" s="853">
        <f>C90+D90</f>
        <v>100</v>
      </c>
      <c r="F90" s="1236"/>
      <c r="G90" s="853">
        <f>E90+F90</f>
        <v>100</v>
      </c>
      <c r="H90" s="853"/>
      <c r="I90" s="853">
        <f>G90+H90</f>
        <v>100</v>
      </c>
      <c r="J90" s="1365"/>
      <c r="K90" s="853">
        <f>I90+J90</f>
        <v>100</v>
      </c>
      <c r="L90" s="853">
        <v>7</v>
      </c>
      <c r="M90" s="1524">
        <f t="shared" si="25"/>
        <v>7.0000000000000007E-2</v>
      </c>
      <c r="N90" s="853">
        <v>100</v>
      </c>
      <c r="O90" s="848"/>
      <c r="P90" s="849"/>
    </row>
    <row r="91" spans="1:16" s="602" customFormat="1" ht="37.5" customHeight="1">
      <c r="A91" s="603" t="s">
        <v>406</v>
      </c>
      <c r="B91" s="610" t="s">
        <v>407</v>
      </c>
      <c r="C91" s="851">
        <f t="shared" ref="C91:O91" si="32">SUM(C92:C95)</f>
        <v>9000</v>
      </c>
      <c r="D91" s="851">
        <f t="shared" si="32"/>
        <v>0</v>
      </c>
      <c r="E91" s="851">
        <f t="shared" si="32"/>
        <v>9000</v>
      </c>
      <c r="F91" s="1302">
        <f t="shared" si="32"/>
        <v>2000</v>
      </c>
      <c r="G91" s="851">
        <f t="shared" si="32"/>
        <v>11000</v>
      </c>
      <c r="H91" s="851">
        <f>SUM(H92:H96)</f>
        <v>1500</v>
      </c>
      <c r="I91" s="851">
        <f>SUM(I92:I96)</f>
        <v>12500</v>
      </c>
      <c r="J91" s="1366">
        <f>SUM(J92:J96)</f>
        <v>20259</v>
      </c>
      <c r="K91" s="851">
        <f>SUM(K92:K96)</f>
        <v>32759</v>
      </c>
      <c r="L91" s="851">
        <f>SUM(L92:L96)</f>
        <v>10181</v>
      </c>
      <c r="M91" s="1523">
        <f t="shared" si="25"/>
        <v>0.31078482249152906</v>
      </c>
      <c r="N91" s="851">
        <f>SUM(N92:N96)</f>
        <v>4932</v>
      </c>
      <c r="O91" s="851">
        <f t="shared" si="32"/>
        <v>27827</v>
      </c>
      <c r="P91" s="852"/>
    </row>
    <row r="92" spans="1:16" s="606" customFormat="1" ht="18.95" customHeight="1">
      <c r="A92" s="605"/>
      <c r="B92" s="612" t="s">
        <v>822</v>
      </c>
      <c r="C92" s="853">
        <v>800</v>
      </c>
      <c r="D92" s="853"/>
      <c r="E92" s="853">
        <f>C92+D92</f>
        <v>800</v>
      </c>
      <c r="F92" s="1303"/>
      <c r="G92" s="853">
        <f>E92+F92</f>
        <v>800</v>
      </c>
      <c r="H92" s="853"/>
      <c r="I92" s="853">
        <f>G92+H92</f>
        <v>800</v>
      </c>
      <c r="J92" s="1365"/>
      <c r="K92" s="853">
        <f>I92+J92</f>
        <v>800</v>
      </c>
      <c r="L92" s="853">
        <v>15</v>
      </c>
      <c r="M92" s="1524">
        <f t="shared" si="25"/>
        <v>1.8749999999999999E-2</v>
      </c>
      <c r="N92" s="853">
        <v>800</v>
      </c>
      <c r="O92" s="848"/>
      <c r="P92" s="849"/>
    </row>
    <row r="93" spans="1:16" s="606" customFormat="1" ht="18.95" customHeight="1">
      <c r="A93" s="605"/>
      <c r="B93" s="612" t="s">
        <v>821</v>
      </c>
      <c r="C93" s="853">
        <v>100</v>
      </c>
      <c r="D93" s="853"/>
      <c r="E93" s="853">
        <f>C93+D93</f>
        <v>100</v>
      </c>
      <c r="F93" s="1303"/>
      <c r="G93" s="853">
        <f>E93+F93</f>
        <v>100</v>
      </c>
      <c r="H93" s="853"/>
      <c r="I93" s="853">
        <f>G93+H93</f>
        <v>100</v>
      </c>
      <c r="J93" s="1365"/>
      <c r="K93" s="853">
        <f>I93+J93</f>
        <v>100</v>
      </c>
      <c r="L93" s="853">
        <v>0</v>
      </c>
      <c r="M93" s="1524">
        <f t="shared" si="25"/>
        <v>0</v>
      </c>
      <c r="N93" s="853">
        <v>100</v>
      </c>
      <c r="O93" s="848"/>
      <c r="P93" s="849"/>
    </row>
    <row r="94" spans="1:16" s="606" customFormat="1" ht="18.95" customHeight="1">
      <c r="A94" s="605"/>
      <c r="B94" s="539" t="s">
        <v>408</v>
      </c>
      <c r="C94" s="853">
        <v>100</v>
      </c>
      <c r="D94" s="853"/>
      <c r="E94" s="853">
        <f>C94+D94</f>
        <v>100</v>
      </c>
      <c r="F94" s="1303"/>
      <c r="G94" s="853">
        <f>E94+F94</f>
        <v>100</v>
      </c>
      <c r="H94" s="853"/>
      <c r="I94" s="853">
        <f>G94+H94</f>
        <v>100</v>
      </c>
      <c r="J94" s="1365"/>
      <c r="K94" s="853">
        <f>I94+J94</f>
        <v>100</v>
      </c>
      <c r="L94" s="853">
        <v>100</v>
      </c>
      <c r="M94" s="1524">
        <f t="shared" si="25"/>
        <v>1</v>
      </c>
      <c r="N94" s="853"/>
      <c r="O94" s="853">
        <v>100</v>
      </c>
      <c r="P94" s="849"/>
    </row>
    <row r="95" spans="1:16" s="606" customFormat="1" ht="18.95" customHeight="1">
      <c r="A95" s="605"/>
      <c r="B95" s="539" t="s">
        <v>547</v>
      </c>
      <c r="C95" s="847">
        <v>8000</v>
      </c>
      <c r="D95" s="847"/>
      <c r="E95" s="847">
        <f>C95+D95</f>
        <v>8000</v>
      </c>
      <c r="F95" s="1352">
        <v>2000</v>
      </c>
      <c r="G95" s="847">
        <f>E95+F95</f>
        <v>10000</v>
      </c>
      <c r="H95" s="847"/>
      <c r="I95" s="847">
        <f>G95+H95</f>
        <v>10000</v>
      </c>
      <c r="J95" s="1368">
        <f>6000+11727</f>
        <v>17727</v>
      </c>
      <c r="K95" s="853">
        <f>I95+J95</f>
        <v>27727</v>
      </c>
      <c r="L95" s="853">
        <f>15997-9963</f>
        <v>6034</v>
      </c>
      <c r="M95" s="1524">
        <f t="shared" si="25"/>
        <v>0.21762181267356728</v>
      </c>
      <c r="N95" s="848"/>
      <c r="O95" s="847">
        <v>27727</v>
      </c>
      <c r="P95" s="849"/>
    </row>
    <row r="96" spans="1:16" s="606" customFormat="1" ht="18.95" customHeight="1" thickBot="1">
      <c r="A96" s="1328"/>
      <c r="B96" s="1376" t="s">
        <v>939</v>
      </c>
      <c r="C96" s="1260"/>
      <c r="D96" s="1260"/>
      <c r="E96" s="1260"/>
      <c r="F96" s="1377"/>
      <c r="G96" s="1260"/>
      <c r="H96" s="1260">
        <v>1500</v>
      </c>
      <c r="I96" s="1260">
        <v>1500</v>
      </c>
      <c r="J96" s="1369">
        <v>2532</v>
      </c>
      <c r="K96" s="857">
        <f>I96+J96</f>
        <v>4032</v>
      </c>
      <c r="L96" s="857">
        <v>4032</v>
      </c>
      <c r="M96" s="1531">
        <f t="shared" si="25"/>
        <v>1</v>
      </c>
      <c r="N96" s="858">
        <v>4032</v>
      </c>
      <c r="O96" s="1260"/>
      <c r="P96" s="859"/>
    </row>
    <row r="97" spans="1:16" s="602" customFormat="1" ht="35.1" customHeight="1" thickBot="1">
      <c r="A97" s="623" t="s">
        <v>371</v>
      </c>
      <c r="B97" s="616" t="s">
        <v>113</v>
      </c>
      <c r="C97" s="860">
        <f t="shared" ref="C97:N97" si="33">C98+C104+C105+C117+C119+C125+C126+C127</f>
        <v>316785</v>
      </c>
      <c r="D97" s="860">
        <f t="shared" si="33"/>
        <v>0</v>
      </c>
      <c r="E97" s="860">
        <f t="shared" si="33"/>
        <v>336997</v>
      </c>
      <c r="F97" s="860">
        <f t="shared" si="33"/>
        <v>31480</v>
      </c>
      <c r="G97" s="860">
        <f t="shared" si="33"/>
        <v>368477</v>
      </c>
      <c r="H97" s="860">
        <f t="shared" si="33"/>
        <v>16844</v>
      </c>
      <c r="I97" s="860">
        <f t="shared" si="33"/>
        <v>385321</v>
      </c>
      <c r="J97" s="860">
        <f>J98+J104+J105+J117+J119+J125+J126+J127</f>
        <v>19725</v>
      </c>
      <c r="K97" s="860">
        <f t="shared" si="33"/>
        <v>405046</v>
      </c>
      <c r="L97" s="860">
        <f>L98+L104+L105+L117+L119+L125+L126+L127</f>
        <v>242054</v>
      </c>
      <c r="M97" s="1505">
        <f t="shared" si="25"/>
        <v>0.59759632239301219</v>
      </c>
      <c r="N97" s="860">
        <f t="shared" si="33"/>
        <v>282552</v>
      </c>
      <c r="O97" s="860">
        <f>O98+O104+O105+O117+O119+O125+O126+O127</f>
        <v>122494</v>
      </c>
      <c r="P97" s="842"/>
    </row>
    <row r="98" spans="1:16" s="602" customFormat="1" ht="33" customHeight="1">
      <c r="A98" s="600" t="s">
        <v>388</v>
      </c>
      <c r="B98" s="614" t="s">
        <v>389</v>
      </c>
      <c r="C98" s="862">
        <f>SUM(C99)</f>
        <v>2000</v>
      </c>
      <c r="D98" s="862">
        <f>SUM(D99)</f>
        <v>0</v>
      </c>
      <c r="E98" s="862">
        <f>SUM(E99:E100)</f>
        <v>3500</v>
      </c>
      <c r="F98" s="862">
        <f>SUM(F99:F100)</f>
        <v>1600</v>
      </c>
      <c r="G98" s="862">
        <f>SUM(G99+G100)</f>
        <v>5100</v>
      </c>
      <c r="H98" s="862">
        <f>SUM(H99:H103)</f>
        <v>4000</v>
      </c>
      <c r="I98" s="862">
        <f>SUM(I99:I103)</f>
        <v>9100</v>
      </c>
      <c r="J98" s="1320">
        <f>SUM(J99:J103)</f>
        <v>2050</v>
      </c>
      <c r="K98" s="862">
        <f>SUM(K99:K103)</f>
        <v>11150</v>
      </c>
      <c r="L98" s="862">
        <f>SUM(L99:L103)</f>
        <v>6408</v>
      </c>
      <c r="M98" s="1522">
        <f t="shared" si="25"/>
        <v>0.57470852017937224</v>
      </c>
      <c r="N98" s="862">
        <f>SUM(N99)</f>
        <v>0</v>
      </c>
      <c r="O98" s="862">
        <f>SUM(O99:O103)</f>
        <v>11150</v>
      </c>
      <c r="P98" s="844"/>
    </row>
    <row r="99" spans="1:16" s="624" customFormat="1" ht="18.95" customHeight="1">
      <c r="A99" s="619"/>
      <c r="B99" s="539" t="s">
        <v>82</v>
      </c>
      <c r="C99" s="853">
        <v>2000</v>
      </c>
      <c r="D99" s="853"/>
      <c r="E99" s="853">
        <f>C99+D99</f>
        <v>2000</v>
      </c>
      <c r="F99" s="853"/>
      <c r="G99" s="853">
        <f>E99+F99</f>
        <v>2000</v>
      </c>
      <c r="H99" s="853">
        <v>200</v>
      </c>
      <c r="I99" s="853">
        <f>G99+H99</f>
        <v>2200</v>
      </c>
      <c r="J99" s="1365">
        <v>550</v>
      </c>
      <c r="K99" s="853">
        <f>I99+J99</f>
        <v>2750</v>
      </c>
      <c r="L99" s="853">
        <v>2750</v>
      </c>
      <c r="M99" s="1524">
        <f t="shared" si="25"/>
        <v>1</v>
      </c>
      <c r="N99" s="848"/>
      <c r="O99" s="848">
        <v>2750</v>
      </c>
      <c r="P99" s="868"/>
    </row>
    <row r="100" spans="1:16" s="624" customFormat="1" ht="18.95" customHeight="1">
      <c r="A100" s="619"/>
      <c r="B100" s="539" t="s">
        <v>886</v>
      </c>
      <c r="C100" s="866"/>
      <c r="D100" s="866"/>
      <c r="E100" s="866">
        <v>1500</v>
      </c>
      <c r="F100" s="866">
        <v>1600</v>
      </c>
      <c r="G100" s="866">
        <v>3100</v>
      </c>
      <c r="H100" s="866">
        <v>0</v>
      </c>
      <c r="I100" s="866">
        <f>G100+H100</f>
        <v>3100</v>
      </c>
      <c r="J100" s="1367"/>
      <c r="K100" s="853">
        <f>I100+J100</f>
        <v>3100</v>
      </c>
      <c r="L100" s="866"/>
      <c r="M100" s="1524">
        <f t="shared" si="25"/>
        <v>0</v>
      </c>
      <c r="N100" s="850"/>
      <c r="O100" s="850">
        <v>3100</v>
      </c>
      <c r="P100" s="868"/>
    </row>
    <row r="101" spans="1:16" s="624" customFormat="1" ht="18.95" customHeight="1">
      <c r="A101" s="619"/>
      <c r="B101" s="539" t="s">
        <v>189</v>
      </c>
      <c r="C101" s="866"/>
      <c r="D101" s="866"/>
      <c r="E101" s="866"/>
      <c r="F101" s="866"/>
      <c r="G101" s="866"/>
      <c r="H101" s="866">
        <v>300</v>
      </c>
      <c r="I101" s="866">
        <v>300</v>
      </c>
      <c r="J101" s="1367"/>
      <c r="K101" s="853">
        <f>I101+J101</f>
        <v>300</v>
      </c>
      <c r="L101" s="866"/>
      <c r="M101" s="1524">
        <f t="shared" si="25"/>
        <v>0</v>
      </c>
      <c r="N101" s="850"/>
      <c r="O101" s="850">
        <v>300</v>
      </c>
      <c r="P101" s="868"/>
    </row>
    <row r="102" spans="1:16" s="624" customFormat="1" ht="18.95" customHeight="1">
      <c r="A102" s="619"/>
      <c r="B102" s="539" t="s">
        <v>117</v>
      </c>
      <c r="C102" s="866"/>
      <c r="D102" s="866"/>
      <c r="E102" s="866"/>
      <c r="F102" s="866"/>
      <c r="G102" s="866"/>
      <c r="H102" s="866"/>
      <c r="I102" s="866"/>
      <c r="J102" s="1367">
        <v>1500</v>
      </c>
      <c r="K102" s="853">
        <v>1500</v>
      </c>
      <c r="L102" s="853">
        <v>1995</v>
      </c>
      <c r="M102" s="1524">
        <f t="shared" si="25"/>
        <v>1.33</v>
      </c>
      <c r="N102" s="850"/>
      <c r="O102" s="850">
        <v>1500</v>
      </c>
      <c r="P102" s="868"/>
    </row>
    <row r="103" spans="1:16" s="624" customFormat="1" ht="18.95" customHeight="1" thickBot="1">
      <c r="A103" s="1381"/>
      <c r="B103" s="1382" t="s">
        <v>116</v>
      </c>
      <c r="C103" s="1383"/>
      <c r="D103" s="1383"/>
      <c r="E103" s="1383"/>
      <c r="F103" s="1383"/>
      <c r="G103" s="1383"/>
      <c r="H103" s="1383">
        <v>3500</v>
      </c>
      <c r="I103" s="1383">
        <v>3500</v>
      </c>
      <c r="J103" s="1384"/>
      <c r="K103" s="869">
        <f>I103+J103</f>
        <v>3500</v>
      </c>
      <c r="L103" s="1712">
        <v>1663</v>
      </c>
      <c r="M103" s="1531">
        <f t="shared" si="25"/>
        <v>0.47514285714285714</v>
      </c>
      <c r="N103" s="1331"/>
      <c r="O103" s="1331">
        <v>3500</v>
      </c>
      <c r="P103" s="1385"/>
    </row>
    <row r="104" spans="1:16" s="602" customFormat="1" ht="30" customHeight="1" thickBot="1">
      <c r="A104" s="617" t="s">
        <v>391</v>
      </c>
      <c r="B104" s="1379" t="s">
        <v>390</v>
      </c>
      <c r="C104" s="864">
        <v>0</v>
      </c>
      <c r="D104" s="864"/>
      <c r="E104" s="864">
        <v>300</v>
      </c>
      <c r="F104" s="864">
        <v>40</v>
      </c>
      <c r="G104" s="864">
        <f>E104+F104</f>
        <v>340</v>
      </c>
      <c r="H104" s="864"/>
      <c r="I104" s="864">
        <f>G104+H104</f>
        <v>340</v>
      </c>
      <c r="J104" s="1372">
        <v>40</v>
      </c>
      <c r="K104" s="864">
        <f>I104+J104</f>
        <v>380</v>
      </c>
      <c r="L104" s="864">
        <v>379</v>
      </c>
      <c r="M104" s="1532">
        <f t="shared" si="25"/>
        <v>0.99736842105263157</v>
      </c>
      <c r="N104" s="864">
        <v>0</v>
      </c>
      <c r="O104" s="864">
        <v>380</v>
      </c>
      <c r="P104" s="865"/>
    </row>
    <row r="105" spans="1:16" s="602" customFormat="1" ht="30" customHeight="1">
      <c r="A105" s="603" t="s">
        <v>392</v>
      </c>
      <c r="B105" s="610" t="s">
        <v>393</v>
      </c>
      <c r="C105" s="851">
        <f>SUM(C106:C114)</f>
        <v>126780</v>
      </c>
      <c r="D105" s="851">
        <f>SUM(D106:D114)</f>
        <v>0</v>
      </c>
      <c r="E105" s="851">
        <f t="shared" ref="E105:I105" si="34">SUM(E106:E116)</f>
        <v>129692</v>
      </c>
      <c r="F105" s="851">
        <f t="shared" si="34"/>
        <v>21840</v>
      </c>
      <c r="G105" s="851">
        <f t="shared" si="34"/>
        <v>151532</v>
      </c>
      <c r="H105" s="851">
        <f t="shared" si="34"/>
        <v>12844</v>
      </c>
      <c r="I105" s="851">
        <f t="shared" si="34"/>
        <v>164376</v>
      </c>
      <c r="J105" s="1366">
        <f>SUM(J106:J116)</f>
        <v>13340</v>
      </c>
      <c r="K105" s="851">
        <f>SUM(K106:K116)</f>
        <v>177716</v>
      </c>
      <c r="L105" s="851">
        <f>SUM(L106:L116)</f>
        <v>171120</v>
      </c>
      <c r="M105" s="1522">
        <f t="shared" si="25"/>
        <v>0.96288460239933382</v>
      </c>
      <c r="N105" s="851">
        <f>SUM(N106:N116)</f>
        <v>78902</v>
      </c>
      <c r="O105" s="851">
        <f>SUM(O106:O116)</f>
        <v>98814</v>
      </c>
      <c r="P105" s="852"/>
    </row>
    <row r="106" spans="1:16" s="606" customFormat="1" ht="18.95" customHeight="1">
      <c r="A106" s="605"/>
      <c r="B106" s="539" t="s">
        <v>546</v>
      </c>
      <c r="C106" s="853">
        <v>46000</v>
      </c>
      <c r="D106" s="853"/>
      <c r="E106" s="853">
        <f t="shared" ref="E106:E114" si="35">C106+D106</f>
        <v>46000</v>
      </c>
      <c r="F106" s="1303">
        <v>4812</v>
      </c>
      <c r="G106" s="853">
        <f t="shared" ref="G106:G114" si="36">E106+F106</f>
        <v>50812</v>
      </c>
      <c r="H106" s="853"/>
      <c r="I106" s="853">
        <f t="shared" ref="I106:K116" si="37">G106+H106</f>
        <v>50812</v>
      </c>
      <c r="J106" s="1365">
        <v>-10541</v>
      </c>
      <c r="K106" s="853">
        <f t="shared" si="37"/>
        <v>40271</v>
      </c>
      <c r="L106" s="853">
        <v>40270</v>
      </c>
      <c r="M106" s="1524">
        <f t="shared" si="25"/>
        <v>0.99997516823520649</v>
      </c>
      <c r="N106" s="848">
        <v>40271</v>
      </c>
      <c r="O106" s="848"/>
      <c r="P106" s="849"/>
    </row>
    <row r="107" spans="1:16" s="606" customFormat="1" ht="18.95" customHeight="1">
      <c r="A107" s="605"/>
      <c r="B107" s="539" t="s">
        <v>545</v>
      </c>
      <c r="C107" s="853">
        <v>10480</v>
      </c>
      <c r="D107" s="853"/>
      <c r="E107" s="853">
        <f t="shared" si="35"/>
        <v>10480</v>
      </c>
      <c r="F107" s="1236"/>
      <c r="G107" s="853">
        <f t="shared" si="36"/>
        <v>10480</v>
      </c>
      <c r="H107" s="853"/>
      <c r="I107" s="853">
        <f t="shared" si="37"/>
        <v>10480</v>
      </c>
      <c r="J107" s="1365">
        <f>10541+125</f>
        <v>10666</v>
      </c>
      <c r="K107" s="853">
        <f t="shared" si="37"/>
        <v>21146</v>
      </c>
      <c r="L107" s="853">
        <v>21146</v>
      </c>
      <c r="M107" s="1524">
        <f t="shared" si="25"/>
        <v>1</v>
      </c>
      <c r="N107" s="853">
        <v>21146</v>
      </c>
      <c r="O107" s="848"/>
      <c r="P107" s="849"/>
    </row>
    <row r="108" spans="1:16" s="606" customFormat="1" ht="18.95" customHeight="1">
      <c r="A108" s="605"/>
      <c r="B108" s="612" t="s">
        <v>544</v>
      </c>
      <c r="C108" s="853">
        <v>10000</v>
      </c>
      <c r="D108" s="853"/>
      <c r="E108" s="853">
        <f t="shared" si="35"/>
        <v>10000</v>
      </c>
      <c r="F108" s="1303">
        <v>3462</v>
      </c>
      <c r="G108" s="853">
        <f t="shared" si="36"/>
        <v>13462</v>
      </c>
      <c r="H108" s="853"/>
      <c r="I108" s="853">
        <f t="shared" si="37"/>
        <v>13462</v>
      </c>
      <c r="J108" s="1365"/>
      <c r="K108" s="853">
        <f t="shared" si="37"/>
        <v>13462</v>
      </c>
      <c r="L108" s="853">
        <v>13462</v>
      </c>
      <c r="M108" s="1524">
        <f t="shared" si="25"/>
        <v>1</v>
      </c>
      <c r="N108" s="848"/>
      <c r="O108" s="853">
        <v>13462</v>
      </c>
      <c r="P108" s="849"/>
    </row>
    <row r="109" spans="1:16" s="606" customFormat="1" ht="18.95" customHeight="1">
      <c r="A109" s="605"/>
      <c r="B109" s="539" t="s">
        <v>189</v>
      </c>
      <c r="C109" s="853">
        <v>300</v>
      </c>
      <c r="D109" s="853"/>
      <c r="E109" s="853">
        <f t="shared" si="35"/>
        <v>300</v>
      </c>
      <c r="F109" s="1236"/>
      <c r="G109" s="853">
        <f t="shared" si="36"/>
        <v>300</v>
      </c>
      <c r="H109" s="853">
        <v>-300</v>
      </c>
      <c r="I109" s="853">
        <f t="shared" si="37"/>
        <v>0</v>
      </c>
      <c r="J109" s="1365"/>
      <c r="K109" s="853">
        <f t="shared" si="37"/>
        <v>0</v>
      </c>
      <c r="L109" s="855">
        <v>13</v>
      </c>
      <c r="M109" s="1524"/>
      <c r="N109" s="848"/>
      <c r="O109" s="853">
        <v>0</v>
      </c>
      <c r="P109" s="849"/>
    </row>
    <row r="110" spans="1:16" s="606" customFormat="1" ht="18.95" customHeight="1">
      <c r="A110" s="605"/>
      <c r="B110" s="539" t="s">
        <v>950</v>
      </c>
      <c r="C110" s="853"/>
      <c r="D110" s="853"/>
      <c r="E110" s="853"/>
      <c r="F110" s="1236"/>
      <c r="G110" s="853"/>
      <c r="H110" s="853"/>
      <c r="I110" s="853"/>
      <c r="J110" s="1365">
        <v>40</v>
      </c>
      <c r="K110" s="853">
        <f t="shared" si="37"/>
        <v>40</v>
      </c>
      <c r="L110" s="853">
        <v>50</v>
      </c>
      <c r="M110" s="1524">
        <f t="shared" si="25"/>
        <v>1.25</v>
      </c>
      <c r="N110" s="848"/>
      <c r="O110" s="853">
        <v>40</v>
      </c>
      <c r="P110" s="849"/>
    </row>
    <row r="111" spans="1:16" s="606" customFormat="1" ht="18.95" customHeight="1">
      <c r="A111" s="605"/>
      <c r="B111" s="539" t="s">
        <v>116</v>
      </c>
      <c r="C111" s="853">
        <v>3500</v>
      </c>
      <c r="D111" s="853"/>
      <c r="E111" s="853">
        <f t="shared" si="35"/>
        <v>3500</v>
      </c>
      <c r="F111" s="1236"/>
      <c r="G111" s="853">
        <f t="shared" si="36"/>
        <v>3500</v>
      </c>
      <c r="H111" s="853">
        <v>-3500</v>
      </c>
      <c r="I111" s="853">
        <f t="shared" si="37"/>
        <v>0</v>
      </c>
      <c r="J111" s="1365"/>
      <c r="K111" s="853">
        <f t="shared" si="37"/>
        <v>0</v>
      </c>
      <c r="L111" s="853"/>
      <c r="M111" s="1524"/>
      <c r="N111" s="848"/>
      <c r="O111" s="853">
        <v>0</v>
      </c>
      <c r="P111" s="849"/>
    </row>
    <row r="112" spans="1:16" s="606" customFormat="1" ht="18.95" customHeight="1">
      <c r="A112" s="605"/>
      <c r="B112" s="539" t="s">
        <v>117</v>
      </c>
      <c r="C112" s="853">
        <v>1500</v>
      </c>
      <c r="D112" s="853"/>
      <c r="E112" s="853">
        <f t="shared" si="35"/>
        <v>1500</v>
      </c>
      <c r="F112" s="1236"/>
      <c r="G112" s="853">
        <f t="shared" si="36"/>
        <v>1500</v>
      </c>
      <c r="H112" s="853"/>
      <c r="I112" s="853">
        <f t="shared" si="37"/>
        <v>1500</v>
      </c>
      <c r="J112" s="1365">
        <v>-1500</v>
      </c>
      <c r="K112" s="853">
        <f t="shared" si="37"/>
        <v>0</v>
      </c>
      <c r="L112" s="853"/>
      <c r="M112" s="1524"/>
      <c r="N112" s="848"/>
      <c r="O112" s="853">
        <v>0</v>
      </c>
      <c r="P112" s="849"/>
    </row>
    <row r="113" spans="1:16" s="606" customFormat="1" ht="18.95" customHeight="1">
      <c r="A113" s="605"/>
      <c r="B113" s="539" t="s">
        <v>543</v>
      </c>
      <c r="C113" s="853">
        <v>10000</v>
      </c>
      <c r="D113" s="853"/>
      <c r="E113" s="853">
        <f t="shared" si="35"/>
        <v>10000</v>
      </c>
      <c r="F113" s="1236"/>
      <c r="G113" s="853">
        <f t="shared" si="36"/>
        <v>10000</v>
      </c>
      <c r="H113" s="853">
        <v>6644</v>
      </c>
      <c r="I113" s="853">
        <f t="shared" si="37"/>
        <v>16644</v>
      </c>
      <c r="J113" s="1365">
        <f>-537+1378</f>
        <v>841</v>
      </c>
      <c r="K113" s="853">
        <f t="shared" si="37"/>
        <v>17485</v>
      </c>
      <c r="L113" s="853">
        <v>16073</v>
      </c>
      <c r="M113" s="1524">
        <f t="shared" si="25"/>
        <v>0.91924506720045751</v>
      </c>
      <c r="N113" s="853">
        <v>17485</v>
      </c>
      <c r="O113" s="848"/>
      <c r="P113" s="849"/>
    </row>
    <row r="114" spans="1:16" s="606" customFormat="1" ht="18.95" customHeight="1">
      <c r="A114" s="605"/>
      <c r="B114" s="539" t="s">
        <v>542</v>
      </c>
      <c r="C114" s="853">
        <v>45000</v>
      </c>
      <c r="D114" s="853"/>
      <c r="E114" s="853">
        <f t="shared" si="35"/>
        <v>45000</v>
      </c>
      <c r="F114" s="1303">
        <v>13566</v>
      </c>
      <c r="G114" s="853">
        <f t="shared" si="36"/>
        <v>58566</v>
      </c>
      <c r="H114" s="853">
        <v>10000</v>
      </c>
      <c r="I114" s="853">
        <f t="shared" si="37"/>
        <v>68566</v>
      </c>
      <c r="J114" s="1365">
        <f>8800+537+4497</f>
        <v>13834</v>
      </c>
      <c r="K114" s="853">
        <f t="shared" si="37"/>
        <v>82400</v>
      </c>
      <c r="L114" s="853">
        <v>77914</v>
      </c>
      <c r="M114" s="1524">
        <f t="shared" si="25"/>
        <v>0.9455582524271845</v>
      </c>
      <c r="N114" s="848">
        <v>0</v>
      </c>
      <c r="O114" s="853">
        <v>82400</v>
      </c>
      <c r="P114" s="849"/>
    </row>
    <row r="115" spans="1:16" s="606" customFormat="1" ht="18.95" customHeight="1">
      <c r="A115" s="605"/>
      <c r="B115" s="539" t="s">
        <v>951</v>
      </c>
      <c r="C115" s="853"/>
      <c r="D115" s="853"/>
      <c r="E115" s="853"/>
      <c r="F115" s="1303"/>
      <c r="G115" s="853"/>
      <c r="H115" s="853"/>
      <c r="I115" s="853"/>
      <c r="J115" s="1365"/>
      <c r="K115" s="853"/>
      <c r="L115" s="853"/>
      <c r="M115" s="1524"/>
      <c r="N115" s="850"/>
      <c r="O115" s="853"/>
      <c r="P115" s="849"/>
    </row>
    <row r="116" spans="1:16" s="606" customFormat="1" ht="18.95" customHeight="1">
      <c r="A116" s="605"/>
      <c r="B116" s="539" t="s">
        <v>887</v>
      </c>
      <c r="C116" s="853"/>
      <c r="D116" s="853"/>
      <c r="E116" s="853">
        <v>2912</v>
      </c>
      <c r="F116" s="853">
        <v>0</v>
      </c>
      <c r="G116" s="853">
        <v>2912</v>
      </c>
      <c r="H116" s="853"/>
      <c r="I116" s="853">
        <f t="shared" si="37"/>
        <v>2912</v>
      </c>
      <c r="J116" s="1365"/>
      <c r="K116" s="853">
        <f t="shared" si="37"/>
        <v>2912</v>
      </c>
      <c r="L116" s="853">
        <v>2192</v>
      </c>
      <c r="M116" s="1524">
        <f t="shared" si="25"/>
        <v>0.75274725274725274</v>
      </c>
      <c r="N116" s="850"/>
      <c r="O116" s="853">
        <v>2912</v>
      </c>
      <c r="P116" s="849"/>
    </row>
    <row r="117" spans="1:16" s="602" customFormat="1" ht="30" customHeight="1">
      <c r="A117" s="603" t="s">
        <v>395</v>
      </c>
      <c r="B117" s="610" t="s">
        <v>394</v>
      </c>
      <c r="C117" s="851">
        <f t="shared" ref="C117:O117" si="38">SUM(C118)</f>
        <v>34000</v>
      </c>
      <c r="D117" s="851">
        <f t="shared" si="38"/>
        <v>0</v>
      </c>
      <c r="E117" s="851">
        <f t="shared" si="38"/>
        <v>34000</v>
      </c>
      <c r="F117" s="1237">
        <f t="shared" si="38"/>
        <v>0</v>
      </c>
      <c r="G117" s="851">
        <f t="shared" si="38"/>
        <v>34000</v>
      </c>
      <c r="H117" s="851">
        <f>SUM(H118)</f>
        <v>0</v>
      </c>
      <c r="I117" s="851">
        <f>SUM(I118)</f>
        <v>34000</v>
      </c>
      <c r="J117" s="1366">
        <f>SUM(J118)</f>
        <v>0</v>
      </c>
      <c r="K117" s="851">
        <f>SUM(K118)</f>
        <v>34000</v>
      </c>
      <c r="L117" s="851">
        <f>SUM(L118)</f>
        <v>23881</v>
      </c>
      <c r="M117" s="1523">
        <f t="shared" si="25"/>
        <v>0.70238235294117646</v>
      </c>
      <c r="N117" s="851">
        <f t="shared" si="38"/>
        <v>21850</v>
      </c>
      <c r="O117" s="851">
        <f t="shared" si="38"/>
        <v>12150</v>
      </c>
      <c r="P117" s="852"/>
    </row>
    <row r="118" spans="1:16" s="606" customFormat="1" ht="18.95" customHeight="1">
      <c r="A118" s="605"/>
      <c r="B118" s="539" t="s">
        <v>541</v>
      </c>
      <c r="C118" s="853">
        <v>34000</v>
      </c>
      <c r="D118" s="853"/>
      <c r="E118" s="853">
        <f>C118+D118</f>
        <v>34000</v>
      </c>
      <c r="F118" s="1236"/>
      <c r="G118" s="853">
        <f>E118+F118</f>
        <v>34000</v>
      </c>
      <c r="H118" s="853"/>
      <c r="I118" s="853">
        <f>G118+H118</f>
        <v>34000</v>
      </c>
      <c r="J118" s="1365"/>
      <c r="K118" s="853">
        <f>I118+J118</f>
        <v>34000</v>
      </c>
      <c r="L118" s="853">
        <v>23881</v>
      </c>
      <c r="M118" s="1524">
        <f t="shared" si="25"/>
        <v>0.70238235294117646</v>
      </c>
      <c r="N118" s="848">
        <f>C118-O118</f>
        <v>21850</v>
      </c>
      <c r="O118" s="848">
        <v>12150</v>
      </c>
      <c r="P118" s="849"/>
    </row>
    <row r="119" spans="1:16" s="602" customFormat="1" ht="30" customHeight="1">
      <c r="A119" s="603" t="s">
        <v>396</v>
      </c>
      <c r="B119" s="625" t="s">
        <v>397</v>
      </c>
      <c r="C119" s="851">
        <f t="shared" ref="C119:O119" si="39">C120+C121</f>
        <v>138250</v>
      </c>
      <c r="D119" s="851">
        <f t="shared" si="39"/>
        <v>0</v>
      </c>
      <c r="E119" s="851">
        <f t="shared" si="39"/>
        <v>138250</v>
      </c>
      <c r="F119" s="1237">
        <f t="shared" si="39"/>
        <v>0</v>
      </c>
      <c r="G119" s="851">
        <f t="shared" si="39"/>
        <v>138250</v>
      </c>
      <c r="H119" s="851">
        <f>H120+H121</f>
        <v>0</v>
      </c>
      <c r="I119" s="851">
        <f>I120+I121</f>
        <v>138250</v>
      </c>
      <c r="J119" s="1366">
        <f>J120+J121</f>
        <v>0</v>
      </c>
      <c r="K119" s="851">
        <f>K120+K121</f>
        <v>138250</v>
      </c>
      <c r="L119" s="851">
        <f>L120+L121</f>
        <v>9931</v>
      </c>
      <c r="M119" s="1523">
        <f t="shared" si="25"/>
        <v>7.1833634719710673E-2</v>
      </c>
      <c r="N119" s="851">
        <f t="shared" si="39"/>
        <v>138250</v>
      </c>
      <c r="O119" s="851">
        <f t="shared" si="39"/>
        <v>0</v>
      </c>
      <c r="P119" s="852"/>
    </row>
    <row r="120" spans="1:16" s="606" customFormat="1" ht="18.95" customHeight="1">
      <c r="A120" s="605"/>
      <c r="B120" s="539" t="s">
        <v>539</v>
      </c>
      <c r="C120" s="853">
        <f>'8'!C68*0.2125+0.5</f>
        <v>10838</v>
      </c>
      <c r="D120" s="853"/>
      <c r="E120" s="853">
        <f>C120+D120</f>
        <v>10838</v>
      </c>
      <c r="F120" s="1236"/>
      <c r="G120" s="853">
        <f>D120+E120</f>
        <v>10838</v>
      </c>
      <c r="H120" s="853"/>
      <c r="I120" s="853">
        <f>G120+H120</f>
        <v>10838</v>
      </c>
      <c r="J120" s="1365"/>
      <c r="K120" s="853">
        <f>I120+J120</f>
        <v>10838</v>
      </c>
      <c r="L120" s="853"/>
      <c r="M120" s="1524">
        <f t="shared" si="25"/>
        <v>0</v>
      </c>
      <c r="N120" s="853">
        <f>C120</f>
        <v>10838</v>
      </c>
      <c r="O120" s="848"/>
      <c r="P120" s="849"/>
    </row>
    <row r="121" spans="1:16" s="606" customFormat="1" ht="18.95" customHeight="1">
      <c r="A121" s="605"/>
      <c r="B121" s="612" t="s">
        <v>540</v>
      </c>
      <c r="C121" s="853">
        <f t="shared" ref="C121:N121" si="40">SUM(C122:C124)</f>
        <v>127412</v>
      </c>
      <c r="D121" s="853">
        <f t="shared" si="40"/>
        <v>0</v>
      </c>
      <c r="E121" s="853">
        <f t="shared" si="40"/>
        <v>127412</v>
      </c>
      <c r="F121" s="1236">
        <f t="shared" si="40"/>
        <v>0</v>
      </c>
      <c r="G121" s="853">
        <f t="shared" si="40"/>
        <v>127412</v>
      </c>
      <c r="H121" s="853">
        <f>SUM(H122:H124)</f>
        <v>0</v>
      </c>
      <c r="I121" s="853">
        <f>SUM(I122:I124)</f>
        <v>127412</v>
      </c>
      <c r="J121" s="1365">
        <f>SUM(J122:J124)</f>
        <v>0</v>
      </c>
      <c r="K121" s="853">
        <f>I121+J121</f>
        <v>127412</v>
      </c>
      <c r="L121" s="853">
        <f>SUM(L122:L124)</f>
        <v>9931</v>
      </c>
      <c r="M121" s="1524">
        <f t="shared" si="25"/>
        <v>7.7943992716541607E-2</v>
      </c>
      <c r="N121" s="853">
        <f t="shared" si="40"/>
        <v>127412</v>
      </c>
      <c r="O121" s="848"/>
      <c r="P121" s="849"/>
    </row>
    <row r="122" spans="1:16" s="624" customFormat="1" ht="18.95" customHeight="1">
      <c r="A122" s="619"/>
      <c r="B122" s="620" t="s">
        <v>183</v>
      </c>
      <c r="C122" s="866">
        <f>'10'!C74</f>
        <v>3780</v>
      </c>
      <c r="D122" s="866"/>
      <c r="E122" s="866">
        <f t="shared" ref="E122:E126" si="41">C122+D122</f>
        <v>3780</v>
      </c>
      <c r="F122" s="1238"/>
      <c r="G122" s="866">
        <f t="shared" ref="G122:G127" si="42">E122+F122</f>
        <v>3780</v>
      </c>
      <c r="H122" s="866"/>
      <c r="I122" s="866">
        <f t="shared" ref="I122:K127" si="43">G122+H122</f>
        <v>3780</v>
      </c>
      <c r="J122" s="1367"/>
      <c r="K122" s="866">
        <f>I122+J122</f>
        <v>3780</v>
      </c>
      <c r="L122" s="866"/>
      <c r="M122" s="1529">
        <f t="shared" si="25"/>
        <v>0</v>
      </c>
      <c r="N122" s="866">
        <f>'10'!N74</f>
        <v>3780</v>
      </c>
      <c r="O122" s="866"/>
      <c r="P122" s="868"/>
    </row>
    <row r="123" spans="1:16" s="624" customFormat="1" ht="18.95" customHeight="1">
      <c r="A123" s="619"/>
      <c r="B123" s="620" t="s">
        <v>474</v>
      </c>
      <c r="C123" s="866">
        <f>'10'!C23</f>
        <v>17820</v>
      </c>
      <c r="D123" s="866"/>
      <c r="E123" s="866">
        <f t="shared" si="41"/>
        <v>17820</v>
      </c>
      <c r="F123" s="1238"/>
      <c r="G123" s="866">
        <f t="shared" si="42"/>
        <v>17820</v>
      </c>
      <c r="H123" s="866"/>
      <c r="I123" s="866">
        <f t="shared" si="43"/>
        <v>17820</v>
      </c>
      <c r="J123" s="1367"/>
      <c r="K123" s="866">
        <f>I123+J123</f>
        <v>17820</v>
      </c>
      <c r="L123" s="1613">
        <f>66000-56069</f>
        <v>9931</v>
      </c>
      <c r="M123" s="1529">
        <f t="shared" si="25"/>
        <v>0.55729517396184058</v>
      </c>
      <c r="N123" s="866">
        <f>'10'!N23</f>
        <v>17820</v>
      </c>
      <c r="O123" s="867"/>
      <c r="P123" s="868"/>
    </row>
    <row r="124" spans="1:16" s="624" customFormat="1" ht="18.95" customHeight="1">
      <c r="A124" s="619"/>
      <c r="B124" s="620" t="s">
        <v>250</v>
      </c>
      <c r="C124" s="866">
        <f>'10'!C21</f>
        <v>105812</v>
      </c>
      <c r="D124" s="866"/>
      <c r="E124" s="866">
        <f t="shared" si="41"/>
        <v>105812</v>
      </c>
      <c r="F124" s="1238"/>
      <c r="G124" s="866">
        <f t="shared" si="42"/>
        <v>105812</v>
      </c>
      <c r="H124" s="866"/>
      <c r="I124" s="866">
        <f t="shared" si="43"/>
        <v>105812</v>
      </c>
      <c r="J124" s="1367"/>
      <c r="K124" s="866">
        <f>I124+J124</f>
        <v>105812</v>
      </c>
      <c r="L124" s="866"/>
      <c r="M124" s="1529">
        <f t="shared" si="25"/>
        <v>0</v>
      </c>
      <c r="N124" s="866">
        <f>'10'!N21</f>
        <v>105812</v>
      </c>
      <c r="O124" s="867"/>
      <c r="P124" s="868"/>
    </row>
    <row r="125" spans="1:16" s="602" customFormat="1" ht="30" customHeight="1">
      <c r="A125" s="603" t="s">
        <v>398</v>
      </c>
      <c r="B125" s="625" t="s">
        <v>399</v>
      </c>
      <c r="C125" s="851">
        <v>5000</v>
      </c>
      <c r="D125" s="851"/>
      <c r="E125" s="851">
        <v>9000</v>
      </c>
      <c r="F125" s="851">
        <v>4000</v>
      </c>
      <c r="G125" s="851">
        <f t="shared" si="42"/>
        <v>13000</v>
      </c>
      <c r="H125" s="851">
        <v>800</v>
      </c>
      <c r="I125" s="851">
        <f t="shared" si="43"/>
        <v>13800</v>
      </c>
      <c r="J125" s="1366">
        <v>620</v>
      </c>
      <c r="K125" s="851">
        <f t="shared" si="43"/>
        <v>14420</v>
      </c>
      <c r="L125" s="851">
        <v>14420</v>
      </c>
      <c r="M125" s="1523">
        <f t="shared" si="25"/>
        <v>1</v>
      </c>
      <c r="N125" s="851">
        <v>14420</v>
      </c>
      <c r="O125" s="872"/>
      <c r="P125" s="852"/>
    </row>
    <row r="126" spans="1:16" s="602" customFormat="1" ht="30" customHeight="1">
      <c r="A126" s="603" t="s">
        <v>400</v>
      </c>
      <c r="B126" s="625" t="s">
        <v>401</v>
      </c>
      <c r="C126" s="851">
        <v>10655</v>
      </c>
      <c r="D126" s="851"/>
      <c r="E126" s="851">
        <f t="shared" si="41"/>
        <v>10655</v>
      </c>
      <c r="F126" s="1302">
        <v>4000</v>
      </c>
      <c r="G126" s="851">
        <f t="shared" si="42"/>
        <v>14655</v>
      </c>
      <c r="H126" s="851">
        <v>-800</v>
      </c>
      <c r="I126" s="851">
        <f t="shared" si="43"/>
        <v>13855</v>
      </c>
      <c r="J126" s="1366">
        <v>2060</v>
      </c>
      <c r="K126" s="851">
        <f t="shared" si="43"/>
        <v>15915</v>
      </c>
      <c r="L126" s="851">
        <v>15915</v>
      </c>
      <c r="M126" s="1523">
        <f t="shared" si="25"/>
        <v>1</v>
      </c>
      <c r="N126" s="851">
        <v>15915</v>
      </c>
      <c r="O126" s="872"/>
      <c r="P126" s="852"/>
    </row>
    <row r="127" spans="1:16" s="602" customFormat="1" ht="30" customHeight="1" thickBot="1">
      <c r="A127" s="1273" t="s">
        <v>402</v>
      </c>
      <c r="B127" s="1274" t="s">
        <v>403</v>
      </c>
      <c r="C127" s="1275">
        <v>100</v>
      </c>
      <c r="D127" s="1275"/>
      <c r="E127" s="1275">
        <v>11600</v>
      </c>
      <c r="F127" s="1275">
        <v>0</v>
      </c>
      <c r="G127" s="1275">
        <f t="shared" si="42"/>
        <v>11600</v>
      </c>
      <c r="H127" s="1275"/>
      <c r="I127" s="1275">
        <f t="shared" si="43"/>
        <v>11600</v>
      </c>
      <c r="J127" s="1373">
        <f>2+173+689+751</f>
        <v>1615</v>
      </c>
      <c r="K127" s="851">
        <f t="shared" si="43"/>
        <v>13215</v>
      </c>
      <c r="L127" s="1447"/>
      <c r="M127" s="1533">
        <f t="shared" si="25"/>
        <v>0</v>
      </c>
      <c r="N127" s="1275">
        <v>13215</v>
      </c>
      <c r="O127" s="1378"/>
      <c r="P127" s="1276"/>
    </row>
    <row r="128" spans="1:16" s="602" customFormat="1" ht="35.1" customHeight="1" thickBot="1">
      <c r="A128" s="598" t="s">
        <v>372</v>
      </c>
      <c r="B128" s="616" t="s">
        <v>382</v>
      </c>
      <c r="C128" s="860">
        <f t="shared" ref="C128:O128" si="44">C129+C134+C137</f>
        <v>0</v>
      </c>
      <c r="D128" s="860">
        <f t="shared" si="44"/>
        <v>167</v>
      </c>
      <c r="E128" s="860">
        <f t="shared" si="44"/>
        <v>4167</v>
      </c>
      <c r="F128" s="860">
        <f t="shared" si="44"/>
        <v>0</v>
      </c>
      <c r="G128" s="860">
        <f t="shared" si="44"/>
        <v>4167</v>
      </c>
      <c r="H128" s="860">
        <f>H129+H134+H137</f>
        <v>0</v>
      </c>
      <c r="I128" s="860">
        <f>I129+I134+I137</f>
        <v>4167</v>
      </c>
      <c r="J128" s="860">
        <f>J129+J134+J137</f>
        <v>6913</v>
      </c>
      <c r="K128" s="860">
        <f>K129+K134+K137</f>
        <v>11080</v>
      </c>
      <c r="L128" s="860">
        <f>L129+L134+L137</f>
        <v>10860</v>
      </c>
      <c r="M128" s="1505">
        <f t="shared" si="25"/>
        <v>0.98014440433213001</v>
      </c>
      <c r="N128" s="860">
        <f t="shared" si="44"/>
        <v>7080</v>
      </c>
      <c r="O128" s="860">
        <f t="shared" si="44"/>
        <v>4000</v>
      </c>
      <c r="P128" s="861"/>
    </row>
    <row r="129" spans="1:16" s="602" customFormat="1" ht="30" customHeight="1">
      <c r="A129" s="600" t="s">
        <v>417</v>
      </c>
      <c r="B129" s="614" t="s">
        <v>416</v>
      </c>
      <c r="C129" s="862">
        <f>SUM(C130:C131)</f>
        <v>0</v>
      </c>
      <c r="D129" s="862">
        <f>SUM(D130:D131)</f>
        <v>167</v>
      </c>
      <c r="E129" s="862">
        <f>SUM(E130:E131)</f>
        <v>167</v>
      </c>
      <c r="F129" s="862">
        <f t="shared" ref="F129:L129" si="45">SUM(F130:F133)</f>
        <v>0</v>
      </c>
      <c r="G129" s="862">
        <f t="shared" si="45"/>
        <v>167</v>
      </c>
      <c r="H129" s="862">
        <f t="shared" si="45"/>
        <v>0</v>
      </c>
      <c r="I129" s="862">
        <f t="shared" si="45"/>
        <v>167</v>
      </c>
      <c r="J129" s="862">
        <f t="shared" si="45"/>
        <v>6913</v>
      </c>
      <c r="K129" s="862">
        <f t="shared" si="45"/>
        <v>7080</v>
      </c>
      <c r="L129" s="862">
        <f t="shared" si="45"/>
        <v>5780</v>
      </c>
      <c r="M129" s="1522">
        <f t="shared" si="25"/>
        <v>0.81638418079096042</v>
      </c>
      <c r="N129" s="862">
        <f>SUM(N130:N131)</f>
        <v>7080</v>
      </c>
      <c r="O129" s="862">
        <f>SUM(O130:O131)</f>
        <v>0</v>
      </c>
      <c r="P129" s="873">
        <f>SUM(P130:P131)</f>
        <v>0</v>
      </c>
    </row>
    <row r="130" spans="1:16" s="606" customFormat="1" ht="18.95" customHeight="1">
      <c r="A130" s="605"/>
      <c r="B130" s="539" t="s">
        <v>538</v>
      </c>
      <c r="C130" s="853"/>
      <c r="D130" s="853"/>
      <c r="E130" s="853">
        <f>C130+D130</f>
        <v>0</v>
      </c>
      <c r="F130" s="853"/>
      <c r="G130" s="853">
        <f>E130+F130</f>
        <v>0</v>
      </c>
      <c r="H130" s="853"/>
      <c r="I130" s="853">
        <f>G130+H130</f>
        <v>0</v>
      </c>
      <c r="J130" s="853"/>
      <c r="K130" s="853">
        <f>I130+J130</f>
        <v>0</v>
      </c>
      <c r="L130" s="855">
        <v>212</v>
      </c>
      <c r="M130" s="1524"/>
      <c r="N130" s="848"/>
      <c r="O130" s="848"/>
      <c r="P130" s="849"/>
    </row>
    <row r="131" spans="1:16" s="606" customFormat="1" ht="18.95" customHeight="1">
      <c r="A131" s="605"/>
      <c r="B131" s="539" t="s">
        <v>537</v>
      </c>
      <c r="C131" s="853">
        <v>0</v>
      </c>
      <c r="D131" s="853">
        <v>167</v>
      </c>
      <c r="E131" s="853">
        <f>C131+D131</f>
        <v>167</v>
      </c>
      <c r="F131" s="853"/>
      <c r="G131" s="853">
        <f>E131+F131</f>
        <v>167</v>
      </c>
      <c r="H131" s="853"/>
      <c r="I131" s="853">
        <f>G131+H131</f>
        <v>167</v>
      </c>
      <c r="J131" s="1365">
        <v>6913</v>
      </c>
      <c r="K131" s="853">
        <f>I131+J131</f>
        <v>7080</v>
      </c>
      <c r="L131" s="855">
        <f>8500-2932</f>
        <v>5568</v>
      </c>
      <c r="M131" s="1524">
        <f t="shared" si="25"/>
        <v>0.78644067796610173</v>
      </c>
      <c r="N131" s="848">
        <v>7080</v>
      </c>
      <c r="O131" s="853">
        <v>0</v>
      </c>
      <c r="P131" s="849"/>
    </row>
    <row r="132" spans="1:16" s="606" customFormat="1" ht="18.95" customHeight="1">
      <c r="A132" s="605"/>
      <c r="B132" s="539" t="s">
        <v>536</v>
      </c>
      <c r="C132" s="853">
        <v>0</v>
      </c>
      <c r="D132" s="853"/>
      <c r="E132" s="853">
        <f>C132+D132</f>
        <v>0</v>
      </c>
      <c r="F132" s="853"/>
      <c r="G132" s="853">
        <f>E132+F132</f>
        <v>0</v>
      </c>
      <c r="H132" s="853"/>
      <c r="I132" s="853">
        <f>G132+H132</f>
        <v>0</v>
      </c>
      <c r="J132" s="853"/>
      <c r="K132" s="853">
        <f>I132+J132</f>
        <v>0</v>
      </c>
      <c r="L132" s="853"/>
      <c r="M132" s="1524"/>
      <c r="N132" s="848"/>
      <c r="O132" s="848"/>
      <c r="P132" s="849"/>
    </row>
    <row r="133" spans="1:16" s="606" customFormat="1" ht="18.95" customHeight="1">
      <c r="A133" s="605"/>
      <c r="B133" s="539" t="s">
        <v>535</v>
      </c>
      <c r="C133" s="853">
        <v>0</v>
      </c>
      <c r="D133" s="853"/>
      <c r="E133" s="853">
        <f>C133+D133</f>
        <v>0</v>
      </c>
      <c r="F133" s="853"/>
      <c r="G133" s="853">
        <f>E133+F133</f>
        <v>0</v>
      </c>
      <c r="H133" s="853"/>
      <c r="I133" s="853">
        <f>G133+H133</f>
        <v>0</v>
      </c>
      <c r="J133" s="853"/>
      <c r="K133" s="853">
        <f>I133+J133</f>
        <v>0</v>
      </c>
      <c r="L133" s="853"/>
      <c r="M133" s="1524"/>
      <c r="N133" s="848"/>
      <c r="O133" s="848"/>
      <c r="P133" s="849"/>
    </row>
    <row r="134" spans="1:16" s="602" customFormat="1" ht="30" customHeight="1">
      <c r="A134" s="603" t="s">
        <v>418</v>
      </c>
      <c r="B134" s="610" t="s">
        <v>419</v>
      </c>
      <c r="C134" s="851">
        <f t="shared" ref="C134:L134" si="46">SUM(C135:C136)</f>
        <v>0</v>
      </c>
      <c r="D134" s="851">
        <f t="shared" si="46"/>
        <v>0</v>
      </c>
      <c r="E134" s="851">
        <f t="shared" si="46"/>
        <v>4000</v>
      </c>
      <c r="F134" s="851">
        <f t="shared" si="46"/>
        <v>0</v>
      </c>
      <c r="G134" s="851">
        <f t="shared" si="46"/>
        <v>4000</v>
      </c>
      <c r="H134" s="851">
        <f t="shared" si="46"/>
        <v>0</v>
      </c>
      <c r="I134" s="851">
        <f t="shared" si="46"/>
        <v>4000</v>
      </c>
      <c r="J134" s="851">
        <f t="shared" si="46"/>
        <v>0</v>
      </c>
      <c r="K134" s="851">
        <f t="shared" si="46"/>
        <v>4000</v>
      </c>
      <c r="L134" s="851">
        <f t="shared" si="46"/>
        <v>5080</v>
      </c>
      <c r="M134" s="1523">
        <f t="shared" ref="M134:M160" si="47">L134/K134</f>
        <v>1.27</v>
      </c>
      <c r="N134" s="851">
        <f>SUM(N132:N133)</f>
        <v>0</v>
      </c>
      <c r="O134" s="851">
        <v>4000</v>
      </c>
      <c r="P134" s="852"/>
    </row>
    <row r="135" spans="1:16" s="606" customFormat="1" ht="18.95" customHeight="1">
      <c r="A135" s="605"/>
      <c r="B135" s="539" t="s">
        <v>534</v>
      </c>
      <c r="C135" s="853">
        <v>0</v>
      </c>
      <c r="D135" s="853"/>
      <c r="E135" s="853">
        <f>C135+D135</f>
        <v>0</v>
      </c>
      <c r="F135" s="853"/>
      <c r="G135" s="853">
        <f>E135+F135</f>
        <v>0</v>
      </c>
      <c r="H135" s="853"/>
      <c r="I135" s="853">
        <f>G135+H135</f>
        <v>0</v>
      </c>
      <c r="J135" s="853"/>
      <c r="K135" s="853">
        <f>I135+J135</f>
        <v>0</v>
      </c>
      <c r="L135" s="853"/>
      <c r="M135" s="1524"/>
      <c r="N135" s="848"/>
      <c r="O135" s="848"/>
      <c r="P135" s="849"/>
    </row>
    <row r="136" spans="1:16" s="606" customFormat="1" ht="18.95" customHeight="1">
      <c r="A136" s="605"/>
      <c r="B136" s="539" t="s">
        <v>533</v>
      </c>
      <c r="C136" s="853">
        <v>0</v>
      </c>
      <c r="D136" s="853"/>
      <c r="E136" s="853">
        <v>4000</v>
      </c>
      <c r="F136" s="853">
        <v>0</v>
      </c>
      <c r="G136" s="853">
        <f>E136+F136</f>
        <v>4000</v>
      </c>
      <c r="H136" s="853"/>
      <c r="I136" s="853">
        <f>G136+H136</f>
        <v>4000</v>
      </c>
      <c r="J136" s="853"/>
      <c r="K136" s="853">
        <f>I136+J136</f>
        <v>4000</v>
      </c>
      <c r="L136" s="853">
        <v>5080</v>
      </c>
      <c r="M136" s="1524">
        <f t="shared" si="47"/>
        <v>1.27</v>
      </c>
      <c r="N136" s="848"/>
      <c r="O136" s="848">
        <v>4000</v>
      </c>
      <c r="P136" s="849"/>
    </row>
    <row r="137" spans="1:16" s="602" customFormat="1" ht="30" customHeight="1">
      <c r="A137" s="603" t="s">
        <v>420</v>
      </c>
      <c r="B137" s="610" t="s">
        <v>421</v>
      </c>
      <c r="C137" s="851">
        <f t="shared" ref="C137:O137" si="48">C138</f>
        <v>0</v>
      </c>
      <c r="D137" s="851">
        <f t="shared" si="48"/>
        <v>0</v>
      </c>
      <c r="E137" s="851">
        <f t="shared" si="48"/>
        <v>0</v>
      </c>
      <c r="F137" s="1237">
        <f t="shared" si="48"/>
        <v>0</v>
      </c>
      <c r="G137" s="851">
        <f t="shared" si="48"/>
        <v>0</v>
      </c>
      <c r="H137" s="851">
        <f>H138</f>
        <v>0</v>
      </c>
      <c r="I137" s="851">
        <f>I138</f>
        <v>0</v>
      </c>
      <c r="J137" s="851">
        <f>J138</f>
        <v>0</v>
      </c>
      <c r="K137" s="851">
        <f>K138</f>
        <v>0</v>
      </c>
      <c r="L137" s="851">
        <f>L138</f>
        <v>0</v>
      </c>
      <c r="M137" s="1523"/>
      <c r="N137" s="851">
        <f t="shared" si="48"/>
        <v>0</v>
      </c>
      <c r="O137" s="851">
        <f t="shared" si="48"/>
        <v>0</v>
      </c>
      <c r="P137" s="852"/>
    </row>
    <row r="138" spans="1:16" s="606" customFormat="1" ht="18.95" customHeight="1" thickBot="1">
      <c r="A138" s="613"/>
      <c r="B138" s="626" t="s">
        <v>298</v>
      </c>
      <c r="C138" s="857">
        <v>0</v>
      </c>
      <c r="D138" s="857"/>
      <c r="E138" s="857">
        <f>C138+D138</f>
        <v>0</v>
      </c>
      <c r="F138" s="1241"/>
      <c r="G138" s="857">
        <f>E138+F138</f>
        <v>0</v>
      </c>
      <c r="H138" s="857"/>
      <c r="I138" s="857">
        <f>G138+H138</f>
        <v>0</v>
      </c>
      <c r="J138" s="857">
        <f>H138+I138</f>
        <v>0</v>
      </c>
      <c r="K138" s="857">
        <f>I138+J138</f>
        <v>0</v>
      </c>
      <c r="L138" s="857"/>
      <c r="M138" s="1531"/>
      <c r="N138" s="858"/>
      <c r="O138" s="857">
        <v>0</v>
      </c>
      <c r="P138" s="859"/>
    </row>
    <row r="139" spans="1:16" s="602" customFormat="1" ht="35.1" customHeight="1" thickBot="1">
      <c r="A139" s="598" t="s">
        <v>373</v>
      </c>
      <c r="B139" s="566" t="s">
        <v>383</v>
      </c>
      <c r="C139" s="860">
        <f t="shared" ref="C139:O139" si="49">C140</f>
        <v>600</v>
      </c>
      <c r="D139" s="860">
        <f t="shared" si="49"/>
        <v>0</v>
      </c>
      <c r="E139" s="860">
        <f t="shared" si="49"/>
        <v>1060</v>
      </c>
      <c r="F139" s="860">
        <f t="shared" si="49"/>
        <v>110</v>
      </c>
      <c r="G139" s="860">
        <f t="shared" si="49"/>
        <v>1170</v>
      </c>
      <c r="H139" s="860">
        <f>H140</f>
        <v>0</v>
      </c>
      <c r="I139" s="860">
        <f>I140</f>
        <v>735</v>
      </c>
      <c r="J139" s="860">
        <f>J140</f>
        <v>0</v>
      </c>
      <c r="K139" s="860">
        <f>K140</f>
        <v>735</v>
      </c>
      <c r="L139" s="860">
        <f>L140</f>
        <v>725</v>
      </c>
      <c r="M139" s="1505">
        <f t="shared" si="47"/>
        <v>0.98639455782312924</v>
      </c>
      <c r="N139" s="860">
        <f t="shared" si="49"/>
        <v>0</v>
      </c>
      <c r="O139" s="860">
        <f t="shared" si="49"/>
        <v>735</v>
      </c>
      <c r="P139" s="861"/>
    </row>
    <row r="140" spans="1:16" s="602" customFormat="1" ht="30" customHeight="1">
      <c r="A140" s="600" t="s">
        <v>432</v>
      </c>
      <c r="B140" s="601" t="s">
        <v>433</v>
      </c>
      <c r="C140" s="862">
        <f t="shared" ref="C140:O140" si="50">SUM(C141:C143)</f>
        <v>600</v>
      </c>
      <c r="D140" s="862">
        <f t="shared" si="50"/>
        <v>0</v>
      </c>
      <c r="E140" s="862">
        <f t="shared" si="50"/>
        <v>1060</v>
      </c>
      <c r="F140" s="862">
        <f t="shared" si="50"/>
        <v>110</v>
      </c>
      <c r="G140" s="862">
        <f t="shared" si="50"/>
        <v>1170</v>
      </c>
      <c r="H140" s="862">
        <f>SUM(H141:H143)</f>
        <v>0</v>
      </c>
      <c r="I140" s="862">
        <f>SUM(I141:I143)</f>
        <v>735</v>
      </c>
      <c r="J140" s="862">
        <f>SUM(J141:J143)</f>
        <v>0</v>
      </c>
      <c r="K140" s="862">
        <f>SUM(K141:K143)</f>
        <v>735</v>
      </c>
      <c r="L140" s="862">
        <f>SUM(L141:L143)</f>
        <v>725</v>
      </c>
      <c r="M140" s="1522">
        <f t="shared" si="47"/>
        <v>0.98639455782312924</v>
      </c>
      <c r="N140" s="862">
        <f t="shared" si="50"/>
        <v>0</v>
      </c>
      <c r="O140" s="862">
        <f t="shared" si="50"/>
        <v>735</v>
      </c>
      <c r="P140" s="844"/>
    </row>
    <row r="141" spans="1:16" s="606" customFormat="1" ht="18.95" customHeight="1">
      <c r="A141" s="605"/>
      <c r="B141" s="612" t="s">
        <v>532</v>
      </c>
      <c r="C141" s="853">
        <v>300</v>
      </c>
      <c r="D141" s="853"/>
      <c r="E141" s="853">
        <f>C141+D141</f>
        <v>300</v>
      </c>
      <c r="F141" s="853"/>
      <c r="G141" s="853">
        <f>E141+F141</f>
        <v>300</v>
      </c>
      <c r="H141" s="853"/>
      <c r="I141" s="853">
        <f>G141+H141</f>
        <v>300</v>
      </c>
      <c r="J141" s="853">
        <v>-300</v>
      </c>
      <c r="K141" s="853">
        <f>I141+J141</f>
        <v>0</v>
      </c>
      <c r="L141" s="853"/>
      <c r="M141" s="1524"/>
      <c r="N141" s="848"/>
      <c r="O141" s="853">
        <v>0</v>
      </c>
      <c r="P141" s="849"/>
    </row>
    <row r="142" spans="1:16" s="606" customFormat="1" ht="34.5" customHeight="1">
      <c r="A142" s="613"/>
      <c r="B142" s="626" t="s">
        <v>807</v>
      </c>
      <c r="C142" s="857">
        <v>300</v>
      </c>
      <c r="D142" s="857"/>
      <c r="E142" s="853">
        <v>380</v>
      </c>
      <c r="F142" s="857">
        <v>55</v>
      </c>
      <c r="G142" s="853">
        <f>E142+F142</f>
        <v>435</v>
      </c>
      <c r="H142" s="857"/>
      <c r="I142" s="857">
        <f>G142+H142</f>
        <v>435</v>
      </c>
      <c r="J142" s="857">
        <v>-200</v>
      </c>
      <c r="K142" s="853">
        <f>I142+J142</f>
        <v>235</v>
      </c>
      <c r="L142" s="857"/>
      <c r="M142" s="1524">
        <f t="shared" si="47"/>
        <v>0</v>
      </c>
      <c r="N142" s="858"/>
      <c r="O142" s="857">
        <v>235</v>
      </c>
      <c r="P142" s="859"/>
    </row>
    <row r="143" spans="1:16" s="606" customFormat="1" ht="18.95" customHeight="1" thickBot="1">
      <c r="A143" s="613"/>
      <c r="B143" s="626" t="s">
        <v>952</v>
      </c>
      <c r="C143" s="857"/>
      <c r="D143" s="857"/>
      <c r="E143" s="853">
        <v>380</v>
      </c>
      <c r="F143" s="857">
        <v>55</v>
      </c>
      <c r="G143" s="853">
        <f>E143+F143</f>
        <v>435</v>
      </c>
      <c r="H143" s="857"/>
      <c r="I143" s="857"/>
      <c r="J143" s="857">
        <v>500</v>
      </c>
      <c r="K143" s="853">
        <f>I143+J143</f>
        <v>500</v>
      </c>
      <c r="L143" s="857">
        <v>725</v>
      </c>
      <c r="M143" s="1531">
        <f t="shared" si="47"/>
        <v>1.45</v>
      </c>
      <c r="N143" s="858"/>
      <c r="O143" s="857">
        <v>500</v>
      </c>
      <c r="P143" s="859"/>
    </row>
    <row r="144" spans="1:16" s="602" customFormat="1" ht="35.1" customHeight="1" thickBot="1">
      <c r="A144" s="598" t="s">
        <v>374</v>
      </c>
      <c r="B144" s="566" t="s">
        <v>384</v>
      </c>
      <c r="C144" s="860">
        <f t="shared" ref="C144:O144" si="51">C145+C149</f>
        <v>37350</v>
      </c>
      <c r="D144" s="860">
        <f t="shared" si="51"/>
        <v>0</v>
      </c>
      <c r="E144" s="860">
        <f t="shared" si="51"/>
        <v>37450</v>
      </c>
      <c r="F144" s="860">
        <f t="shared" si="51"/>
        <v>200</v>
      </c>
      <c r="G144" s="860">
        <f t="shared" si="51"/>
        <v>37650</v>
      </c>
      <c r="H144" s="860">
        <f>H145+H149</f>
        <v>0</v>
      </c>
      <c r="I144" s="860">
        <f>I145+I149</f>
        <v>37650</v>
      </c>
      <c r="J144" s="860">
        <f>J145+J149</f>
        <v>1039</v>
      </c>
      <c r="K144" s="860">
        <f>K145+K149</f>
        <v>38689</v>
      </c>
      <c r="L144" s="860">
        <f>L145+L149</f>
        <v>9533</v>
      </c>
      <c r="M144" s="1505">
        <f t="shared" si="47"/>
        <v>0.24640078575305643</v>
      </c>
      <c r="N144" s="860">
        <f t="shared" si="51"/>
        <v>0</v>
      </c>
      <c r="O144" s="860">
        <f t="shared" si="51"/>
        <v>38689</v>
      </c>
      <c r="P144" s="861"/>
    </row>
    <row r="145" spans="1:16" s="602" customFormat="1" ht="37.5" customHeight="1">
      <c r="A145" s="600" t="s">
        <v>434</v>
      </c>
      <c r="B145" s="627" t="s">
        <v>435</v>
      </c>
      <c r="C145" s="862">
        <f t="shared" ref="C145:L145" si="52">SUM(C146:C148)</f>
        <v>4350</v>
      </c>
      <c r="D145" s="862">
        <f t="shared" si="52"/>
        <v>0</v>
      </c>
      <c r="E145" s="862">
        <f t="shared" si="52"/>
        <v>4450</v>
      </c>
      <c r="F145" s="862">
        <f t="shared" si="52"/>
        <v>200</v>
      </c>
      <c r="G145" s="862">
        <f t="shared" si="52"/>
        <v>4650</v>
      </c>
      <c r="H145" s="862">
        <f t="shared" si="52"/>
        <v>0</v>
      </c>
      <c r="I145" s="862">
        <f t="shared" si="52"/>
        <v>4650</v>
      </c>
      <c r="J145" s="1374">
        <f t="shared" si="52"/>
        <v>200</v>
      </c>
      <c r="K145" s="862">
        <f t="shared" si="52"/>
        <v>4850</v>
      </c>
      <c r="L145" s="862">
        <f t="shared" si="52"/>
        <v>4830</v>
      </c>
      <c r="M145" s="1522">
        <f t="shared" si="47"/>
        <v>0.99587628865979383</v>
      </c>
      <c r="N145" s="874"/>
      <c r="O145" s="862">
        <f>SUM(O146:O148)</f>
        <v>4850</v>
      </c>
      <c r="P145" s="844"/>
    </row>
    <row r="146" spans="1:16" s="606" customFormat="1" ht="18.95" customHeight="1">
      <c r="A146" s="605"/>
      <c r="B146" s="612" t="s">
        <v>529</v>
      </c>
      <c r="C146" s="853">
        <v>3400</v>
      </c>
      <c r="D146" s="853"/>
      <c r="E146" s="853">
        <f>C146+D146</f>
        <v>3400</v>
      </c>
      <c r="F146" s="853">
        <v>200</v>
      </c>
      <c r="G146" s="853">
        <f>E146+F146</f>
        <v>3600</v>
      </c>
      <c r="H146" s="853"/>
      <c r="I146" s="853">
        <f>G146+H146</f>
        <v>3600</v>
      </c>
      <c r="J146" s="1365"/>
      <c r="K146" s="853">
        <f>I146+J146</f>
        <v>3600</v>
      </c>
      <c r="L146" s="853">
        <v>3600</v>
      </c>
      <c r="M146" s="1524">
        <f t="shared" si="47"/>
        <v>1</v>
      </c>
      <c r="N146" s="848"/>
      <c r="O146" s="853">
        <v>3600</v>
      </c>
      <c r="P146" s="849"/>
    </row>
    <row r="147" spans="1:16" s="606" customFormat="1" ht="18.95" customHeight="1">
      <c r="A147" s="605"/>
      <c r="B147" s="612" t="s">
        <v>530</v>
      </c>
      <c r="C147" s="853">
        <v>950</v>
      </c>
      <c r="D147" s="853"/>
      <c r="E147" s="853">
        <v>1050</v>
      </c>
      <c r="F147" s="853">
        <v>0</v>
      </c>
      <c r="G147" s="853">
        <f>E147+F147</f>
        <v>1050</v>
      </c>
      <c r="H147" s="853"/>
      <c r="I147" s="853">
        <f>G147+H147</f>
        <v>1050</v>
      </c>
      <c r="J147" s="1365">
        <v>200</v>
      </c>
      <c r="K147" s="853">
        <f>I147+J147</f>
        <v>1250</v>
      </c>
      <c r="L147" s="853">
        <v>1230</v>
      </c>
      <c r="M147" s="1524">
        <f t="shared" si="47"/>
        <v>0.98399999999999999</v>
      </c>
      <c r="N147" s="848"/>
      <c r="O147" s="853">
        <v>1250</v>
      </c>
      <c r="P147" s="849"/>
    </row>
    <row r="148" spans="1:16" s="606" customFormat="1" ht="18.95" customHeight="1">
      <c r="A148" s="605"/>
      <c r="B148" s="628" t="s">
        <v>531</v>
      </c>
      <c r="C148" s="853">
        <v>0</v>
      </c>
      <c r="D148" s="853"/>
      <c r="E148" s="853">
        <f>C148+D148</f>
        <v>0</v>
      </c>
      <c r="F148" s="1236"/>
      <c r="G148" s="853">
        <f>E148+F148</f>
        <v>0</v>
      </c>
      <c r="H148" s="853"/>
      <c r="I148" s="853">
        <f>G148+H148</f>
        <v>0</v>
      </c>
      <c r="J148" s="1365"/>
      <c r="K148" s="853">
        <f>I148+J148</f>
        <v>0</v>
      </c>
      <c r="L148" s="853"/>
      <c r="M148" s="1524"/>
      <c r="N148" s="848"/>
      <c r="O148" s="853">
        <v>0</v>
      </c>
      <c r="P148" s="849"/>
    </row>
    <row r="149" spans="1:16" s="567" customFormat="1" ht="30" customHeight="1">
      <c r="A149" s="603" t="s">
        <v>569</v>
      </c>
      <c r="B149" s="629" t="s">
        <v>570</v>
      </c>
      <c r="C149" s="851">
        <f>SUM(C150:C151)</f>
        <v>33000</v>
      </c>
      <c r="D149" s="851">
        <f>SUM(D150:D151)</f>
        <v>0</v>
      </c>
      <c r="E149" s="851">
        <f t="shared" ref="E149:L149" si="53">SUM(E150:E152)</f>
        <v>33000</v>
      </c>
      <c r="F149" s="1237">
        <f t="shared" si="53"/>
        <v>0</v>
      </c>
      <c r="G149" s="851">
        <f t="shared" si="53"/>
        <v>33000</v>
      </c>
      <c r="H149" s="851">
        <f t="shared" si="53"/>
        <v>0</v>
      </c>
      <c r="I149" s="851">
        <f t="shared" si="53"/>
        <v>33000</v>
      </c>
      <c r="J149" s="1365">
        <f>SUM(J150:J152)</f>
        <v>839</v>
      </c>
      <c r="K149" s="851">
        <f t="shared" si="53"/>
        <v>33839</v>
      </c>
      <c r="L149" s="851">
        <f t="shared" si="53"/>
        <v>4703</v>
      </c>
      <c r="M149" s="1523">
        <f t="shared" si="47"/>
        <v>0.13898164839386506</v>
      </c>
      <c r="N149" s="851">
        <f>SUM(N150:N151)</f>
        <v>0</v>
      </c>
      <c r="O149" s="851">
        <f>SUM(O150:O152)</f>
        <v>33839</v>
      </c>
      <c r="P149" s="852"/>
    </row>
    <row r="150" spans="1:16" s="530" customFormat="1" ht="18.95" customHeight="1">
      <c r="A150" s="605"/>
      <c r="B150" s="611" t="s">
        <v>465</v>
      </c>
      <c r="C150" s="853">
        <v>30000</v>
      </c>
      <c r="D150" s="853"/>
      <c r="E150" s="853">
        <v>28982</v>
      </c>
      <c r="F150" s="853"/>
      <c r="G150" s="853">
        <f>E150+F150</f>
        <v>28982</v>
      </c>
      <c r="H150" s="853"/>
      <c r="I150" s="853">
        <f>G150+H150</f>
        <v>28982</v>
      </c>
      <c r="J150" s="1365"/>
      <c r="K150" s="853">
        <f>I150+J150</f>
        <v>28982</v>
      </c>
      <c r="L150" s="853"/>
      <c r="M150" s="1524">
        <f t="shared" si="47"/>
        <v>0</v>
      </c>
      <c r="N150" s="848"/>
      <c r="O150" s="853">
        <v>28982</v>
      </c>
      <c r="P150" s="849"/>
    </row>
    <row r="151" spans="1:16" s="530" customFormat="1" ht="18.95" customHeight="1">
      <c r="A151" s="613"/>
      <c r="B151" s="626" t="s">
        <v>466</v>
      </c>
      <c r="C151" s="853">
        <v>3000</v>
      </c>
      <c r="D151" s="853"/>
      <c r="E151" s="853">
        <v>0</v>
      </c>
      <c r="F151" s="853"/>
      <c r="G151" s="853">
        <f>E151+F151</f>
        <v>0</v>
      </c>
      <c r="H151" s="853"/>
      <c r="I151" s="853">
        <f>G151+H151</f>
        <v>0</v>
      </c>
      <c r="J151" s="1365">
        <v>839</v>
      </c>
      <c r="K151" s="853">
        <f>I151+J151</f>
        <v>839</v>
      </c>
      <c r="L151" s="853">
        <v>685</v>
      </c>
      <c r="M151" s="1524">
        <f t="shared" si="47"/>
        <v>0.81644815256257453</v>
      </c>
      <c r="N151" s="848"/>
      <c r="O151" s="847">
        <v>839</v>
      </c>
      <c r="P151" s="849"/>
    </row>
    <row r="152" spans="1:16" s="530" customFormat="1" ht="18.95" customHeight="1" thickBot="1">
      <c r="A152" s="622"/>
      <c r="B152" s="1079" t="s">
        <v>895</v>
      </c>
      <c r="C152" s="1255"/>
      <c r="D152" s="1255"/>
      <c r="E152" s="1255">
        <v>4018</v>
      </c>
      <c r="F152" s="1255">
        <v>0</v>
      </c>
      <c r="G152" s="1255">
        <f>E152+F152</f>
        <v>4018</v>
      </c>
      <c r="H152" s="1255"/>
      <c r="I152" s="1255">
        <f>G152+H152</f>
        <v>4018</v>
      </c>
      <c r="J152" s="1255"/>
      <c r="K152" s="853">
        <f>I152+J152</f>
        <v>4018</v>
      </c>
      <c r="L152" s="1307">
        <v>4018</v>
      </c>
      <c r="M152" s="1531">
        <f t="shared" si="47"/>
        <v>1</v>
      </c>
      <c r="N152" s="1256"/>
      <c r="O152" s="1255">
        <v>4018</v>
      </c>
      <c r="P152" s="1257"/>
    </row>
    <row r="153" spans="1:16" s="567" customFormat="1" ht="35.1" customHeight="1" thickBot="1">
      <c r="A153" s="598" t="s">
        <v>375</v>
      </c>
      <c r="B153" s="616" t="s">
        <v>121</v>
      </c>
      <c r="C153" s="860">
        <f t="shared" ref="C153:N153" si="54">C154+C155+C156</f>
        <v>1314345</v>
      </c>
      <c r="D153" s="860">
        <f t="shared" si="54"/>
        <v>106692</v>
      </c>
      <c r="E153" s="860">
        <f t="shared" si="54"/>
        <v>2215778</v>
      </c>
      <c r="F153" s="860">
        <f t="shared" si="54"/>
        <v>880000</v>
      </c>
      <c r="G153" s="860">
        <f t="shared" si="54"/>
        <v>3095778</v>
      </c>
      <c r="H153" s="860">
        <f>H154+H155+H156</f>
        <v>0</v>
      </c>
      <c r="I153" s="860">
        <f>I154+I155+I156</f>
        <v>3095778</v>
      </c>
      <c r="J153" s="860">
        <f>J154+J155+J156</f>
        <v>0</v>
      </c>
      <c r="K153" s="860">
        <f>K154+K155+K156</f>
        <v>3095778</v>
      </c>
      <c r="L153" s="860">
        <f>SUM(L154:L159)</f>
        <v>2195259</v>
      </c>
      <c r="M153" s="1505">
        <f t="shared" si="47"/>
        <v>0.70911383180576903</v>
      </c>
      <c r="N153" s="860">
        <f t="shared" si="54"/>
        <v>3095778</v>
      </c>
      <c r="O153" s="860">
        <f>O154+O155</f>
        <v>0</v>
      </c>
      <c r="P153" s="861"/>
    </row>
    <row r="154" spans="1:16" s="602" customFormat="1" ht="30" customHeight="1">
      <c r="A154" s="600" t="s">
        <v>438</v>
      </c>
      <c r="B154" s="614" t="s">
        <v>439</v>
      </c>
      <c r="C154" s="862">
        <v>130000</v>
      </c>
      <c r="D154" s="862"/>
      <c r="E154" s="862">
        <f>C154+D154</f>
        <v>130000</v>
      </c>
      <c r="F154" s="862"/>
      <c r="G154" s="862">
        <f>E154+F154</f>
        <v>130000</v>
      </c>
      <c r="H154" s="862"/>
      <c r="I154" s="862">
        <f>G154+H154</f>
        <v>130000</v>
      </c>
      <c r="J154" s="862"/>
      <c r="K154" s="862">
        <f>I154+J154</f>
        <v>130000</v>
      </c>
      <c r="L154" s="862"/>
      <c r="M154" s="1522">
        <f t="shared" si="47"/>
        <v>0</v>
      </c>
      <c r="N154" s="862">
        <v>130000</v>
      </c>
      <c r="O154" s="874"/>
      <c r="P154" s="844"/>
    </row>
    <row r="155" spans="1:16" s="602" customFormat="1" ht="30" customHeight="1">
      <c r="A155" s="603" t="s">
        <v>436</v>
      </c>
      <c r="B155" s="610" t="s">
        <v>437</v>
      </c>
      <c r="C155" s="851">
        <f>489345</f>
        <v>489345</v>
      </c>
      <c r="D155" s="851"/>
      <c r="E155" s="862">
        <v>1284086</v>
      </c>
      <c r="F155" s="862">
        <f>80000+800000</f>
        <v>880000</v>
      </c>
      <c r="G155" s="862">
        <f>E155+F155</f>
        <v>2164086</v>
      </c>
      <c r="H155" s="862"/>
      <c r="I155" s="862">
        <f>G155+H155</f>
        <v>2164086</v>
      </c>
      <c r="J155" s="862"/>
      <c r="K155" s="862">
        <f>I155+J155</f>
        <v>2164086</v>
      </c>
      <c r="L155" s="862">
        <v>1361885</v>
      </c>
      <c r="M155" s="1523">
        <f t="shared" si="47"/>
        <v>0.62931186653395477</v>
      </c>
      <c r="N155" s="851">
        <v>2164086</v>
      </c>
      <c r="O155" s="856"/>
      <c r="P155" s="852"/>
    </row>
    <row r="156" spans="1:16" s="602" customFormat="1" ht="30" customHeight="1">
      <c r="A156" s="603" t="s">
        <v>440</v>
      </c>
      <c r="B156" s="610" t="s">
        <v>441</v>
      </c>
      <c r="C156" s="851">
        <f t="shared" ref="C156:O156" si="55">C157+C158</f>
        <v>695000</v>
      </c>
      <c r="D156" s="851">
        <f t="shared" si="55"/>
        <v>106692</v>
      </c>
      <c r="E156" s="851">
        <f t="shared" si="55"/>
        <v>801692</v>
      </c>
      <c r="F156" s="1237">
        <f t="shared" si="55"/>
        <v>0</v>
      </c>
      <c r="G156" s="851">
        <f t="shared" si="55"/>
        <v>801692</v>
      </c>
      <c r="H156" s="851">
        <f>H157+H158</f>
        <v>0</v>
      </c>
      <c r="I156" s="851">
        <f>I157+I158</f>
        <v>801692</v>
      </c>
      <c r="J156" s="851">
        <f>J157+J158</f>
        <v>0</v>
      </c>
      <c r="K156" s="862">
        <f>I156+J156</f>
        <v>801692</v>
      </c>
      <c r="L156" s="862">
        <v>801692</v>
      </c>
      <c r="M156" s="1523">
        <f t="shared" si="47"/>
        <v>1</v>
      </c>
      <c r="N156" s="851">
        <f t="shared" si="55"/>
        <v>801692</v>
      </c>
      <c r="O156" s="851">
        <f t="shared" si="55"/>
        <v>0</v>
      </c>
      <c r="P156" s="852"/>
    </row>
    <row r="157" spans="1:16" s="606" customFormat="1" ht="18.95" customHeight="1">
      <c r="A157" s="605"/>
      <c r="B157" s="612" t="s">
        <v>527</v>
      </c>
      <c r="C157" s="853">
        <v>25000</v>
      </c>
      <c r="D157" s="853">
        <f>43875-5290+35577</f>
        <v>74162</v>
      </c>
      <c r="E157" s="853">
        <f>C157+D157</f>
        <v>99162</v>
      </c>
      <c r="F157" s="1236"/>
      <c r="G157" s="853">
        <f>E157+F157</f>
        <v>99162</v>
      </c>
      <c r="H157" s="853"/>
      <c r="I157" s="853">
        <f>G157+H157</f>
        <v>99162</v>
      </c>
      <c r="J157" s="853"/>
      <c r="K157" s="853">
        <f>I157+J157</f>
        <v>99162</v>
      </c>
      <c r="L157" s="853"/>
      <c r="M157" s="1524">
        <f t="shared" si="47"/>
        <v>0</v>
      </c>
      <c r="N157" s="853">
        <f>25000+D157</f>
        <v>99162</v>
      </c>
      <c r="O157" s="853"/>
      <c r="P157" s="849"/>
    </row>
    <row r="158" spans="1:16" s="631" customFormat="1" ht="18.95" customHeight="1" thickBot="1">
      <c r="A158" s="613"/>
      <c r="B158" s="630" t="s">
        <v>528</v>
      </c>
      <c r="C158" s="857">
        <f>300000+370000</f>
        <v>670000</v>
      </c>
      <c r="D158" s="857">
        <f>27240+5290</f>
        <v>32530</v>
      </c>
      <c r="E158" s="853">
        <f>C158+D158</f>
        <v>702530</v>
      </c>
      <c r="F158" s="1241"/>
      <c r="G158" s="853">
        <f>E158+F158</f>
        <v>702530</v>
      </c>
      <c r="H158" s="857"/>
      <c r="I158" s="857">
        <f>G158+H158</f>
        <v>702530</v>
      </c>
      <c r="J158" s="857"/>
      <c r="K158" s="853">
        <f>I158+J158</f>
        <v>702530</v>
      </c>
      <c r="L158" s="857"/>
      <c r="M158" s="1531">
        <f t="shared" si="47"/>
        <v>0</v>
      </c>
      <c r="N158" s="857">
        <f>300000+370000+D158</f>
        <v>702530</v>
      </c>
      <c r="O158" s="857"/>
      <c r="P158" s="859"/>
    </row>
    <row r="159" spans="1:16" s="631" customFormat="1" ht="18.95" customHeight="1" thickBot="1">
      <c r="A159" s="1713"/>
      <c r="B159" s="1714" t="s">
        <v>1128</v>
      </c>
      <c r="C159" s="1307">
        <v>0</v>
      </c>
      <c r="D159" s="1307"/>
      <c r="E159" s="1307"/>
      <c r="F159" s="1715"/>
      <c r="G159" s="1307"/>
      <c r="H159" s="1307"/>
      <c r="I159" s="1307"/>
      <c r="J159" s="1307"/>
      <c r="K159" s="1307">
        <v>31682</v>
      </c>
      <c r="L159" s="1307">
        <v>31682</v>
      </c>
      <c r="M159" s="1531">
        <f t="shared" si="47"/>
        <v>1</v>
      </c>
      <c r="N159" s="1307"/>
      <c r="O159" s="1307"/>
      <c r="P159" s="1329"/>
    </row>
    <row r="160" spans="1:16" s="634" customFormat="1" ht="35.1" customHeight="1" thickBot="1">
      <c r="A160" s="632" t="s">
        <v>1</v>
      </c>
      <c r="B160" s="633"/>
      <c r="C160" s="841">
        <f>C3+C68+C83+C97+C128+C139+C144+C153+C69</f>
        <v>4251444</v>
      </c>
      <c r="D160" s="841">
        <f>D3+D68+D83+D97+D128+D139+D144+D153</f>
        <v>636640</v>
      </c>
      <c r="E160" s="841">
        <f>E3+E68+E83+E97+E128+E139+E144+E153+E69</f>
        <v>5864828</v>
      </c>
      <c r="F160" s="841">
        <f>F3+F83+F97+F128+F139+F144+F153+F69</f>
        <v>978050</v>
      </c>
      <c r="G160" s="841">
        <f t="shared" ref="G160:J160" si="56">G3+G69+G83+G97+G128+G139+G144+G153</f>
        <v>6842878</v>
      </c>
      <c r="H160" s="841">
        <f t="shared" si="56"/>
        <v>39369</v>
      </c>
      <c r="I160" s="841">
        <f t="shared" si="56"/>
        <v>6881812</v>
      </c>
      <c r="J160" s="841">
        <f t="shared" si="56"/>
        <v>240864</v>
      </c>
      <c r="K160" s="841">
        <f>K3+K69+K83+K97+K128+K139+K144+K153</f>
        <v>7122676</v>
      </c>
      <c r="L160" s="841">
        <f>L3+L69+L83+L97+L128+L139+L144+L153</f>
        <v>5476519</v>
      </c>
      <c r="M160" s="1505">
        <f t="shared" si="47"/>
        <v>0.76888503702821809</v>
      </c>
      <c r="N160" s="841">
        <f>N3+N69+N83+N97+N128+N139+N144+N153</f>
        <v>5768380</v>
      </c>
      <c r="O160" s="841">
        <f>O3+O69+O83+O97+O128+O139+O144+O153</f>
        <v>1354296</v>
      </c>
      <c r="P160" s="842">
        <f>P3+P68+P83+P97+P128+P139+P144+P153</f>
        <v>0</v>
      </c>
    </row>
    <row r="161" spans="1:18" s="636" customFormat="1" ht="20.100000000000001" customHeight="1">
      <c r="A161" s="635"/>
      <c r="B161" s="635"/>
      <c r="F161" s="1242"/>
      <c r="Q161" s="1716"/>
      <c r="R161" s="1716"/>
    </row>
    <row r="162" spans="1:18" s="635" customFormat="1" ht="20.100000000000001" customHeight="1">
      <c r="D162" s="637" t="e">
        <f>D160-'8'!D198</f>
        <v>#REF!</v>
      </c>
      <c r="E162" s="637" t="s">
        <v>98</v>
      </c>
      <c r="F162" s="1243"/>
      <c r="G162" s="637"/>
      <c r="H162" s="637"/>
      <c r="I162" s="637"/>
      <c r="J162" s="637"/>
      <c r="K162" s="637"/>
      <c r="L162" s="637"/>
      <c r="M162" s="637"/>
      <c r="N162" s="637"/>
    </row>
    <row r="163" spans="1:18" s="638" customFormat="1" ht="20.100000000000001" customHeight="1">
      <c r="D163" s="638">
        <f>1195152-489345+60308</f>
        <v>766115</v>
      </c>
      <c r="F163" s="1244"/>
      <c r="K163" s="1386">
        <f>'7'!M184+'9'!K93-'4'!M160-'4'!M161-'4'!M163-'4'!M165-'4'!M168-'6'!M3-'6'!M5-'6'!M10-'6'!M22-'6'!M25</f>
        <v>2003843</v>
      </c>
      <c r="L163" s="1386"/>
      <c r="M163" s="1386"/>
    </row>
    <row r="164" spans="1:18" s="635" customFormat="1" ht="20.100000000000001" customHeight="1">
      <c r="D164" s="637">
        <f>E156-D163</f>
        <v>35577</v>
      </c>
      <c r="F164" s="1245"/>
    </row>
    <row r="165" spans="1:18" s="635" customFormat="1" ht="20.100000000000001" customHeight="1">
      <c r="F165" s="1245"/>
    </row>
    <row r="166" spans="1:18" s="635" customFormat="1" ht="23.1" customHeight="1">
      <c r="F166" s="1245"/>
    </row>
    <row r="167" spans="1:18" s="638" customFormat="1" ht="20.100000000000001" customHeight="1">
      <c r="F167" s="1244"/>
    </row>
    <row r="168" spans="1:18" s="639" customFormat="1" ht="20.100000000000001" customHeight="1">
      <c r="F168" s="1246"/>
    </row>
    <row r="169" spans="1:18" s="638" customFormat="1" ht="20.100000000000001" customHeight="1">
      <c r="F169" s="1244"/>
    </row>
    <row r="170" spans="1:18" s="636" customFormat="1" ht="24.95" customHeight="1">
      <c r="A170" s="635"/>
      <c r="B170" s="635"/>
      <c r="F170" s="1242"/>
    </row>
    <row r="171" spans="1:18" s="636" customFormat="1">
      <c r="A171" s="635"/>
      <c r="B171" s="635"/>
      <c r="F171" s="1242"/>
    </row>
    <row r="172" spans="1:18" s="636" customFormat="1">
      <c r="A172" s="635"/>
      <c r="B172" s="635"/>
      <c r="F172" s="1242"/>
    </row>
    <row r="173" spans="1:18" s="636" customFormat="1">
      <c r="A173" s="635"/>
      <c r="B173" s="635"/>
      <c r="F173" s="1242"/>
    </row>
    <row r="174" spans="1:18" s="636" customFormat="1">
      <c r="A174" s="635"/>
      <c r="B174" s="635"/>
      <c r="F174" s="1242"/>
    </row>
    <row r="175" spans="1:18" s="636" customFormat="1">
      <c r="A175" s="635"/>
      <c r="B175" s="635"/>
      <c r="F175" s="1242"/>
    </row>
    <row r="176" spans="1:18" s="636" customFormat="1">
      <c r="A176" s="635"/>
      <c r="B176" s="635"/>
      <c r="F176" s="1242"/>
    </row>
    <row r="177" spans="1:6" s="636" customFormat="1">
      <c r="A177" s="635"/>
      <c r="B177" s="635"/>
      <c r="F177" s="1242"/>
    </row>
    <row r="178" spans="1:6" s="636" customFormat="1">
      <c r="A178" s="635"/>
      <c r="B178" s="635"/>
      <c r="F178" s="1242"/>
    </row>
    <row r="179" spans="1:6" s="636" customFormat="1">
      <c r="A179" s="635"/>
      <c r="B179" s="635"/>
      <c r="F179" s="1242"/>
    </row>
    <row r="180" spans="1:6" s="636" customFormat="1">
      <c r="A180" s="635"/>
      <c r="B180" s="635"/>
      <c r="F180" s="1242"/>
    </row>
    <row r="181" spans="1:6" s="636" customFormat="1">
      <c r="A181" s="635"/>
      <c r="B181" s="635"/>
      <c r="F181" s="1242"/>
    </row>
    <row r="182" spans="1:6" s="636" customFormat="1">
      <c r="A182" s="635"/>
      <c r="B182" s="635"/>
      <c r="F182" s="1242"/>
    </row>
    <row r="183" spans="1:6" s="636" customFormat="1">
      <c r="A183" s="635"/>
      <c r="B183" s="635"/>
      <c r="F183" s="1242"/>
    </row>
    <row r="184" spans="1:6" s="636" customFormat="1">
      <c r="A184" s="635"/>
      <c r="B184" s="635"/>
      <c r="F184" s="1242"/>
    </row>
    <row r="185" spans="1:6" s="636" customFormat="1">
      <c r="A185" s="635"/>
      <c r="B185" s="635"/>
      <c r="F185" s="1242"/>
    </row>
    <row r="186" spans="1:6" s="636" customFormat="1">
      <c r="A186" s="635"/>
      <c r="B186" s="635"/>
      <c r="F186" s="1242"/>
    </row>
    <row r="187" spans="1:6" s="636" customFormat="1">
      <c r="A187" s="635"/>
      <c r="B187" s="635"/>
      <c r="F187" s="1242"/>
    </row>
    <row r="188" spans="1:6" s="636" customFormat="1">
      <c r="A188" s="635"/>
      <c r="B188" s="635"/>
      <c r="F188" s="1242"/>
    </row>
    <row r="189" spans="1:6" s="636" customFormat="1">
      <c r="A189" s="635"/>
      <c r="B189" s="635"/>
      <c r="F189" s="1242"/>
    </row>
    <row r="190" spans="1:6" s="636" customFormat="1">
      <c r="A190" s="635"/>
      <c r="B190" s="635"/>
      <c r="F190" s="1242"/>
    </row>
    <row r="191" spans="1:6" s="636" customFormat="1">
      <c r="A191" s="635"/>
      <c r="B191" s="635"/>
      <c r="F191" s="1242"/>
    </row>
    <row r="192" spans="1:6" s="636" customFormat="1">
      <c r="A192" s="635"/>
      <c r="B192" s="635"/>
      <c r="F192" s="1242"/>
    </row>
    <row r="193" spans="1:6" s="636" customFormat="1">
      <c r="A193" s="635"/>
      <c r="B193" s="635"/>
      <c r="F193" s="1242"/>
    </row>
    <row r="194" spans="1:6" s="636" customFormat="1">
      <c r="A194" s="635"/>
      <c r="B194" s="635"/>
      <c r="F194" s="1242"/>
    </row>
    <row r="195" spans="1:6" s="636" customFormat="1">
      <c r="A195" s="635"/>
      <c r="B195" s="635"/>
      <c r="F195" s="1242"/>
    </row>
    <row r="196" spans="1:6" s="636" customFormat="1">
      <c r="A196" s="635"/>
      <c r="B196" s="635"/>
      <c r="F196" s="1242"/>
    </row>
    <row r="197" spans="1:6" s="636" customFormat="1">
      <c r="A197" s="635"/>
      <c r="B197" s="635"/>
      <c r="F197" s="1242"/>
    </row>
    <row r="198" spans="1:6" s="636" customFormat="1">
      <c r="A198" s="635"/>
      <c r="B198" s="635"/>
      <c r="F198" s="1242"/>
    </row>
    <row r="199" spans="1:6" s="636" customFormat="1">
      <c r="A199" s="635"/>
      <c r="B199" s="635"/>
      <c r="F199" s="1242"/>
    </row>
    <row r="200" spans="1:6" s="636" customFormat="1">
      <c r="A200" s="635"/>
      <c r="B200" s="635"/>
      <c r="F200" s="1242"/>
    </row>
    <row r="201" spans="1:6" s="636" customFormat="1">
      <c r="A201" s="635"/>
      <c r="B201" s="635"/>
      <c r="F201" s="1242"/>
    </row>
    <row r="202" spans="1:6" s="636" customFormat="1">
      <c r="A202" s="635"/>
      <c r="B202" s="635"/>
      <c r="F202" s="1242"/>
    </row>
    <row r="203" spans="1:6" s="636" customFormat="1">
      <c r="A203" s="635"/>
      <c r="B203" s="635"/>
      <c r="F203" s="1242"/>
    </row>
    <row r="204" spans="1:6" s="636" customFormat="1">
      <c r="A204" s="635"/>
      <c r="B204" s="635"/>
      <c r="F204" s="1242"/>
    </row>
    <row r="205" spans="1:6" s="636" customFormat="1">
      <c r="A205" s="635"/>
      <c r="B205" s="635"/>
      <c r="F205" s="1242"/>
    </row>
    <row r="206" spans="1:6" s="636" customFormat="1">
      <c r="A206" s="635"/>
      <c r="B206" s="635"/>
      <c r="F206" s="1242"/>
    </row>
    <row r="207" spans="1:6" s="636" customFormat="1">
      <c r="A207" s="635"/>
      <c r="B207" s="635"/>
      <c r="F207" s="1242"/>
    </row>
    <row r="208" spans="1:6" s="636" customFormat="1">
      <c r="A208" s="635"/>
      <c r="B208" s="635"/>
      <c r="F208" s="1242"/>
    </row>
    <row r="209" spans="1:16" s="636" customFormat="1">
      <c r="A209" s="635"/>
      <c r="B209" s="635"/>
      <c r="F209" s="1242"/>
    </row>
    <row r="210" spans="1:16" s="636" customFormat="1">
      <c r="A210" s="640"/>
      <c r="B210" s="641"/>
      <c r="C210" s="642"/>
      <c r="D210" s="642"/>
      <c r="E210" s="642"/>
      <c r="F210" s="1247"/>
      <c r="G210" s="642"/>
      <c r="H210" s="642"/>
      <c r="I210" s="642"/>
      <c r="J210" s="642"/>
      <c r="K210" s="642"/>
      <c r="L210" s="642"/>
      <c r="M210" s="642"/>
      <c r="N210" s="643"/>
      <c r="O210" s="644"/>
      <c r="P210" s="643"/>
    </row>
    <row r="211" spans="1:16" s="636" customFormat="1">
      <c r="A211" s="640"/>
      <c r="B211" s="641"/>
      <c r="C211" s="642"/>
      <c r="D211" s="642"/>
      <c r="E211" s="642"/>
      <c r="F211" s="1247"/>
      <c r="G211" s="642"/>
      <c r="H211" s="642"/>
      <c r="I211" s="642"/>
      <c r="J211" s="642"/>
      <c r="K211" s="642"/>
      <c r="L211" s="642"/>
      <c r="M211" s="642"/>
      <c r="N211" s="643"/>
      <c r="O211" s="644"/>
      <c r="P211" s="643"/>
    </row>
    <row r="212" spans="1:16" s="636" customFormat="1">
      <c r="A212" s="640"/>
      <c r="B212" s="641"/>
      <c r="C212" s="642"/>
      <c r="D212" s="642"/>
      <c r="E212" s="642"/>
      <c r="F212" s="1247"/>
      <c r="G212" s="642"/>
      <c r="H212" s="642"/>
      <c r="I212" s="642"/>
      <c r="J212" s="642"/>
      <c r="K212" s="642"/>
      <c r="L212" s="642"/>
      <c r="M212" s="642"/>
      <c r="N212" s="643"/>
      <c r="O212" s="644"/>
      <c r="P212" s="643"/>
    </row>
    <row r="213" spans="1:16" s="636" customFormat="1">
      <c r="A213" s="640"/>
      <c r="B213" s="641"/>
      <c r="C213" s="642"/>
      <c r="D213" s="642"/>
      <c r="E213" s="642"/>
      <c r="F213" s="1247"/>
      <c r="G213" s="642"/>
      <c r="H213" s="642"/>
      <c r="I213" s="642"/>
      <c r="J213" s="642"/>
      <c r="K213" s="642"/>
      <c r="L213" s="642"/>
      <c r="M213" s="642"/>
      <c r="N213" s="643"/>
      <c r="O213" s="644"/>
      <c r="P213" s="643"/>
    </row>
    <row r="214" spans="1:16" s="636" customFormat="1">
      <c r="A214" s="640"/>
      <c r="B214" s="641"/>
      <c r="C214" s="642"/>
      <c r="D214" s="642"/>
      <c r="E214" s="642"/>
      <c r="F214" s="1247"/>
      <c r="G214" s="642"/>
      <c r="H214" s="642"/>
      <c r="I214" s="642"/>
      <c r="J214" s="642"/>
      <c r="K214" s="642"/>
      <c r="L214" s="642"/>
      <c r="M214" s="642"/>
      <c r="N214" s="643"/>
      <c r="O214" s="644"/>
      <c r="P214" s="643"/>
    </row>
    <row r="215" spans="1:16" s="636" customFormat="1">
      <c r="A215" s="640"/>
      <c r="B215" s="641"/>
      <c r="C215" s="642"/>
      <c r="D215" s="642"/>
      <c r="E215" s="642"/>
      <c r="F215" s="1247"/>
      <c r="G215" s="642"/>
      <c r="H215" s="642"/>
      <c r="I215" s="642"/>
      <c r="J215" s="642"/>
      <c r="K215" s="642"/>
      <c r="L215" s="642"/>
      <c r="M215" s="642"/>
      <c r="N215" s="643"/>
      <c r="O215" s="644"/>
      <c r="P215" s="643"/>
    </row>
    <row r="216" spans="1:16" s="636" customFormat="1">
      <c r="A216" s="640"/>
      <c r="B216" s="641"/>
      <c r="C216" s="642"/>
      <c r="D216" s="642"/>
      <c r="E216" s="642"/>
      <c r="F216" s="1247"/>
      <c r="G216" s="642"/>
      <c r="H216" s="642"/>
      <c r="I216" s="642"/>
      <c r="J216" s="642"/>
      <c r="K216" s="642"/>
      <c r="L216" s="642"/>
      <c r="M216" s="642"/>
      <c r="N216" s="643"/>
      <c r="O216" s="644"/>
      <c r="P216" s="643"/>
    </row>
    <row r="217" spans="1:16" s="636" customFormat="1">
      <c r="A217" s="640"/>
      <c r="B217" s="641"/>
      <c r="C217" s="642"/>
      <c r="D217" s="642"/>
      <c r="E217" s="642"/>
      <c r="F217" s="1247"/>
      <c r="G217" s="642"/>
      <c r="H217" s="642"/>
      <c r="I217" s="642"/>
      <c r="J217" s="642"/>
      <c r="K217" s="642"/>
      <c r="L217" s="642"/>
      <c r="M217" s="642"/>
      <c r="N217" s="643"/>
      <c r="O217" s="644"/>
      <c r="P217" s="643"/>
    </row>
    <row r="218" spans="1:16" s="636" customFormat="1">
      <c r="A218" s="640"/>
      <c r="B218" s="641"/>
      <c r="C218" s="642"/>
      <c r="D218" s="642"/>
      <c r="E218" s="642"/>
      <c r="F218" s="1247"/>
      <c r="G218" s="642"/>
      <c r="H218" s="642"/>
      <c r="I218" s="642"/>
      <c r="J218" s="642"/>
      <c r="K218" s="642"/>
      <c r="L218" s="642"/>
      <c r="M218" s="642"/>
      <c r="N218" s="643"/>
      <c r="O218" s="644"/>
      <c r="P218" s="643"/>
    </row>
    <row r="219" spans="1:16" s="636" customFormat="1">
      <c r="A219" s="640"/>
      <c r="B219" s="641"/>
      <c r="C219" s="642"/>
      <c r="D219" s="642"/>
      <c r="E219" s="642"/>
      <c r="F219" s="1247"/>
      <c r="G219" s="642"/>
      <c r="H219" s="642"/>
      <c r="I219" s="642"/>
      <c r="J219" s="642"/>
      <c r="K219" s="642"/>
      <c r="L219" s="642"/>
      <c r="M219" s="642"/>
      <c r="N219" s="643"/>
      <c r="O219" s="644"/>
      <c r="P219" s="643"/>
    </row>
    <row r="220" spans="1:16" s="636" customFormat="1">
      <c r="A220" s="640"/>
      <c r="B220" s="641"/>
      <c r="C220" s="642"/>
      <c r="D220" s="642"/>
      <c r="E220" s="642"/>
      <c r="F220" s="1247"/>
      <c r="G220" s="642"/>
      <c r="H220" s="642"/>
      <c r="I220" s="642"/>
      <c r="J220" s="642"/>
      <c r="K220" s="642"/>
      <c r="L220" s="642"/>
      <c r="M220" s="642"/>
      <c r="N220" s="643"/>
      <c r="O220" s="644"/>
      <c r="P220" s="643"/>
    </row>
    <row r="221" spans="1:16" s="636" customFormat="1">
      <c r="A221" s="640"/>
      <c r="B221" s="641"/>
      <c r="C221" s="642"/>
      <c r="D221" s="642"/>
      <c r="E221" s="642"/>
      <c r="F221" s="1247"/>
      <c r="G221" s="642"/>
      <c r="H221" s="642"/>
      <c r="I221" s="642"/>
      <c r="J221" s="642"/>
      <c r="K221" s="642"/>
      <c r="L221" s="642"/>
      <c r="M221" s="642"/>
      <c r="N221" s="643"/>
      <c r="O221" s="644"/>
      <c r="P221" s="643"/>
    </row>
    <row r="222" spans="1:16" s="636" customFormat="1">
      <c r="A222" s="640"/>
      <c r="B222" s="641"/>
      <c r="C222" s="642"/>
      <c r="D222" s="642"/>
      <c r="E222" s="642"/>
      <c r="F222" s="1247"/>
      <c r="G222" s="642"/>
      <c r="H222" s="642"/>
      <c r="I222" s="642"/>
      <c r="J222" s="642"/>
      <c r="K222" s="642"/>
      <c r="L222" s="642"/>
      <c r="M222" s="642"/>
      <c r="N222" s="643"/>
      <c r="O222" s="644"/>
      <c r="P222" s="643"/>
    </row>
    <row r="223" spans="1:16" s="636" customFormat="1">
      <c r="A223" s="640"/>
      <c r="B223" s="641"/>
      <c r="C223" s="642"/>
      <c r="D223" s="642"/>
      <c r="E223" s="642"/>
      <c r="F223" s="1247"/>
      <c r="G223" s="642"/>
      <c r="H223" s="642"/>
      <c r="I223" s="642"/>
      <c r="J223" s="642"/>
      <c r="K223" s="642"/>
      <c r="L223" s="642"/>
      <c r="M223" s="642"/>
      <c r="N223" s="643"/>
      <c r="O223" s="644"/>
      <c r="P223" s="643"/>
    </row>
    <row r="224" spans="1:16" s="636" customFormat="1">
      <c r="A224" s="640"/>
      <c r="B224" s="641"/>
      <c r="C224" s="642"/>
      <c r="D224" s="642"/>
      <c r="E224" s="642"/>
      <c r="F224" s="1247"/>
      <c r="G224" s="642"/>
      <c r="H224" s="642"/>
      <c r="I224" s="642"/>
      <c r="J224" s="642"/>
      <c r="K224" s="642"/>
      <c r="L224" s="642"/>
      <c r="M224" s="642"/>
      <c r="N224" s="643"/>
      <c r="O224" s="644"/>
      <c r="P224" s="643"/>
    </row>
    <row r="225" spans="1:16" s="636" customFormat="1">
      <c r="A225" s="640"/>
      <c r="B225" s="641"/>
      <c r="C225" s="642"/>
      <c r="D225" s="642"/>
      <c r="E225" s="642"/>
      <c r="F225" s="1247"/>
      <c r="G225" s="642"/>
      <c r="H225" s="642"/>
      <c r="I225" s="642"/>
      <c r="J225" s="642"/>
      <c r="K225" s="642"/>
      <c r="L225" s="642"/>
      <c r="M225" s="642"/>
      <c r="N225" s="643"/>
      <c r="O225" s="644"/>
      <c r="P225" s="643"/>
    </row>
    <row r="226" spans="1:16" s="636" customFormat="1">
      <c r="A226" s="640"/>
      <c r="B226" s="641"/>
      <c r="C226" s="642"/>
      <c r="D226" s="642"/>
      <c r="E226" s="642"/>
      <c r="F226" s="1247"/>
      <c r="G226" s="642"/>
      <c r="H226" s="642"/>
      <c r="I226" s="642"/>
      <c r="J226" s="642"/>
      <c r="K226" s="642"/>
      <c r="L226" s="642"/>
      <c r="M226" s="642"/>
      <c r="N226" s="643"/>
      <c r="O226" s="644"/>
      <c r="P226" s="643"/>
    </row>
    <row r="227" spans="1:16" s="636" customFormat="1">
      <c r="A227" s="640"/>
      <c r="B227" s="641"/>
      <c r="C227" s="642"/>
      <c r="D227" s="642"/>
      <c r="E227" s="642"/>
      <c r="F227" s="1247"/>
      <c r="G227" s="642"/>
      <c r="H227" s="642"/>
      <c r="I227" s="642"/>
      <c r="J227" s="642"/>
      <c r="K227" s="642"/>
      <c r="L227" s="642"/>
      <c r="M227" s="642"/>
      <c r="N227" s="643"/>
      <c r="O227" s="644"/>
      <c r="P227" s="643"/>
    </row>
    <row r="228" spans="1:16" s="636" customFormat="1">
      <c r="A228" s="640"/>
      <c r="B228" s="641"/>
      <c r="C228" s="642"/>
      <c r="D228" s="642"/>
      <c r="E228" s="642"/>
      <c r="F228" s="1247"/>
      <c r="G228" s="642"/>
      <c r="H228" s="642"/>
      <c r="I228" s="642"/>
      <c r="J228" s="642"/>
      <c r="K228" s="642"/>
      <c r="L228" s="642"/>
      <c r="M228" s="642"/>
      <c r="N228" s="643"/>
      <c r="O228" s="644"/>
      <c r="P228" s="643"/>
    </row>
    <row r="229" spans="1:16" s="636" customFormat="1">
      <c r="A229" s="640"/>
      <c r="B229" s="641"/>
      <c r="C229" s="642"/>
      <c r="D229" s="642"/>
      <c r="E229" s="642"/>
      <c r="F229" s="1247"/>
      <c r="G229" s="642"/>
      <c r="H229" s="642"/>
      <c r="I229" s="642"/>
      <c r="J229" s="642"/>
      <c r="K229" s="642"/>
      <c r="L229" s="642"/>
      <c r="M229" s="642"/>
      <c r="N229" s="643"/>
      <c r="O229" s="644"/>
      <c r="P229" s="643"/>
    </row>
    <row r="230" spans="1:16" s="636" customFormat="1">
      <c r="A230" s="640"/>
      <c r="B230" s="641"/>
      <c r="C230" s="642"/>
      <c r="D230" s="642"/>
      <c r="E230" s="642"/>
      <c r="F230" s="1247"/>
      <c r="G230" s="642"/>
      <c r="H230" s="642"/>
      <c r="I230" s="642"/>
      <c r="J230" s="642"/>
      <c r="K230" s="642"/>
      <c r="L230" s="642"/>
      <c r="M230" s="642"/>
      <c r="N230" s="643"/>
      <c r="O230" s="644"/>
      <c r="P230" s="643"/>
    </row>
    <row r="231" spans="1:16" s="636" customFormat="1">
      <c r="A231" s="640"/>
      <c r="B231" s="641"/>
      <c r="C231" s="642"/>
      <c r="D231" s="642"/>
      <c r="E231" s="642"/>
      <c r="F231" s="1247"/>
      <c r="G231" s="642"/>
      <c r="H231" s="642"/>
      <c r="I231" s="642"/>
      <c r="J231" s="642"/>
      <c r="K231" s="642"/>
      <c r="L231" s="642"/>
      <c r="M231" s="642"/>
      <c r="N231" s="643"/>
      <c r="O231" s="644"/>
      <c r="P231" s="643"/>
    </row>
    <row r="232" spans="1:16" s="636" customFormat="1">
      <c r="A232" s="640"/>
      <c r="B232" s="641"/>
      <c r="C232" s="642"/>
      <c r="D232" s="642"/>
      <c r="E232" s="642"/>
      <c r="F232" s="1247"/>
      <c r="G232" s="642"/>
      <c r="H232" s="642"/>
      <c r="I232" s="642"/>
      <c r="J232" s="642"/>
      <c r="K232" s="642"/>
      <c r="L232" s="642"/>
      <c r="M232" s="642"/>
      <c r="N232" s="643"/>
      <c r="O232" s="644"/>
      <c r="P232" s="643"/>
    </row>
    <row r="233" spans="1:16" s="636" customFormat="1">
      <c r="A233" s="640"/>
      <c r="B233" s="641"/>
      <c r="C233" s="642"/>
      <c r="D233" s="642"/>
      <c r="E233" s="642"/>
      <c r="F233" s="1247"/>
      <c r="G233" s="642"/>
      <c r="H233" s="642"/>
      <c r="I233" s="642"/>
      <c r="J233" s="642"/>
      <c r="K233" s="642"/>
      <c r="L233" s="642"/>
      <c r="M233" s="642"/>
      <c r="N233" s="643"/>
      <c r="O233" s="644"/>
      <c r="P233" s="643"/>
    </row>
    <row r="234" spans="1:16" s="636" customFormat="1">
      <c r="A234" s="640"/>
      <c r="B234" s="641"/>
      <c r="C234" s="642"/>
      <c r="D234" s="642"/>
      <c r="E234" s="642"/>
      <c r="F234" s="1247"/>
      <c r="G234" s="642"/>
      <c r="H234" s="642"/>
      <c r="I234" s="642"/>
      <c r="J234" s="642"/>
      <c r="K234" s="642"/>
      <c r="L234" s="642"/>
      <c r="M234" s="642"/>
      <c r="N234" s="643"/>
      <c r="O234" s="644"/>
      <c r="P234" s="643"/>
    </row>
    <row r="235" spans="1:16" s="636" customFormat="1">
      <c r="A235" s="640"/>
      <c r="B235" s="641"/>
      <c r="C235" s="642"/>
      <c r="D235" s="642"/>
      <c r="E235" s="642"/>
      <c r="F235" s="1247"/>
      <c r="G235" s="642"/>
      <c r="H235" s="642"/>
      <c r="I235" s="642"/>
      <c r="J235" s="642"/>
      <c r="K235" s="642"/>
      <c r="L235" s="642"/>
      <c r="M235" s="642"/>
      <c r="N235" s="643"/>
      <c r="O235" s="644"/>
      <c r="P235" s="643"/>
    </row>
    <row r="236" spans="1:16" s="636" customFormat="1">
      <c r="A236" s="640"/>
      <c r="B236" s="641"/>
      <c r="C236" s="642"/>
      <c r="D236" s="642"/>
      <c r="E236" s="642"/>
      <c r="F236" s="1247"/>
      <c r="G236" s="642"/>
      <c r="H236" s="642"/>
      <c r="I236" s="642"/>
      <c r="J236" s="642"/>
      <c r="K236" s="642"/>
      <c r="L236" s="642"/>
      <c r="M236" s="642"/>
      <c r="N236" s="645"/>
      <c r="O236" s="642"/>
      <c r="P236" s="645"/>
    </row>
    <row r="237" spans="1:16" s="636" customFormat="1">
      <c r="A237" s="646"/>
      <c r="B237" s="641"/>
      <c r="C237" s="642"/>
      <c r="D237" s="642"/>
      <c r="E237" s="642"/>
      <c r="F237" s="1247"/>
      <c r="G237" s="642"/>
      <c r="H237" s="642"/>
      <c r="I237" s="642"/>
      <c r="J237" s="642"/>
      <c r="K237" s="642"/>
      <c r="L237" s="642"/>
      <c r="M237" s="642"/>
      <c r="N237" s="645"/>
      <c r="O237" s="642"/>
      <c r="P237" s="645"/>
    </row>
    <row r="238" spans="1:16" s="636" customFormat="1">
      <c r="A238" s="646"/>
      <c r="B238" s="641"/>
      <c r="C238" s="642"/>
      <c r="D238" s="642"/>
      <c r="E238" s="642"/>
      <c r="F238" s="1247"/>
      <c r="G238" s="642"/>
      <c r="H238" s="642"/>
      <c r="I238" s="642"/>
      <c r="J238" s="642"/>
      <c r="K238" s="642"/>
      <c r="L238" s="642"/>
      <c r="M238" s="642"/>
      <c r="N238" s="645"/>
      <c r="O238" s="642"/>
      <c r="P238" s="645"/>
    </row>
    <row r="239" spans="1:16" s="636" customFormat="1">
      <c r="A239" s="646"/>
      <c r="B239" s="641"/>
      <c r="C239" s="642"/>
      <c r="D239" s="642"/>
      <c r="E239" s="642"/>
      <c r="F239" s="1247"/>
      <c r="G239" s="642"/>
      <c r="H239" s="642"/>
      <c r="I239" s="642"/>
      <c r="J239" s="642"/>
      <c r="K239" s="642"/>
      <c r="L239" s="642"/>
      <c r="M239" s="642"/>
      <c r="N239" s="645"/>
      <c r="O239" s="642"/>
      <c r="P239" s="645"/>
    </row>
    <row r="240" spans="1:16" s="636" customFormat="1">
      <c r="A240" s="646"/>
      <c r="B240" s="641"/>
      <c r="C240" s="642"/>
      <c r="D240" s="642"/>
      <c r="E240" s="642"/>
      <c r="F240" s="1247"/>
      <c r="G240" s="642"/>
      <c r="H240" s="642"/>
      <c r="I240" s="642"/>
      <c r="J240" s="642"/>
      <c r="K240" s="642"/>
      <c r="L240" s="642"/>
      <c r="M240" s="642"/>
      <c r="N240" s="645"/>
      <c r="O240" s="642"/>
      <c r="P240" s="645"/>
    </row>
    <row r="241" spans="1:16" s="636" customFormat="1">
      <c r="A241" s="646"/>
      <c r="B241" s="641"/>
      <c r="C241" s="642"/>
      <c r="D241" s="642"/>
      <c r="E241" s="642"/>
      <c r="F241" s="1247"/>
      <c r="G241" s="642"/>
      <c r="H241" s="642"/>
      <c r="I241" s="642"/>
      <c r="J241" s="642"/>
      <c r="K241" s="642"/>
      <c r="L241" s="642"/>
      <c r="M241" s="642"/>
      <c r="N241" s="645"/>
      <c r="O241" s="642"/>
      <c r="P241" s="645"/>
    </row>
    <row r="242" spans="1:16" s="636" customFormat="1">
      <c r="A242" s="646"/>
      <c r="B242" s="641"/>
      <c r="C242" s="642"/>
      <c r="D242" s="642"/>
      <c r="E242" s="642"/>
      <c r="F242" s="1247"/>
      <c r="G242" s="642"/>
      <c r="H242" s="642"/>
      <c r="I242" s="642"/>
      <c r="J242" s="642"/>
      <c r="K242" s="642"/>
      <c r="L242" s="642"/>
      <c r="M242" s="642"/>
      <c r="N242" s="645"/>
      <c r="O242" s="642"/>
      <c r="P242" s="645"/>
    </row>
    <row r="243" spans="1:16" s="636" customFormat="1">
      <c r="A243" s="646"/>
      <c r="B243" s="641"/>
      <c r="C243" s="642"/>
      <c r="D243" s="642"/>
      <c r="E243" s="642"/>
      <c r="F243" s="1247"/>
      <c r="G243" s="642"/>
      <c r="H243" s="642"/>
      <c r="I243" s="642"/>
      <c r="J243" s="642"/>
      <c r="K243" s="642"/>
      <c r="L243" s="642"/>
      <c r="M243" s="642"/>
      <c r="N243" s="645"/>
      <c r="O243" s="642"/>
      <c r="P243" s="645"/>
    </row>
    <row r="244" spans="1:16" s="636" customFormat="1">
      <c r="A244" s="646"/>
      <c r="B244" s="641"/>
      <c r="C244" s="642"/>
      <c r="D244" s="642"/>
      <c r="E244" s="642"/>
      <c r="F244" s="1247"/>
      <c r="G244" s="642"/>
      <c r="H244" s="642"/>
      <c r="I244" s="642"/>
      <c r="J244" s="642"/>
      <c r="K244" s="642"/>
      <c r="L244" s="642"/>
      <c r="M244" s="642"/>
      <c r="N244" s="645"/>
      <c r="O244" s="642"/>
      <c r="P244" s="645"/>
    </row>
    <row r="245" spans="1:16" s="636" customFormat="1">
      <c r="A245" s="646"/>
      <c r="B245" s="641"/>
      <c r="C245" s="642"/>
      <c r="D245" s="642"/>
      <c r="E245" s="642"/>
      <c r="F245" s="1247"/>
      <c r="G245" s="642"/>
      <c r="H245" s="642"/>
      <c r="I245" s="642"/>
      <c r="J245" s="642"/>
      <c r="K245" s="642"/>
      <c r="L245" s="642"/>
      <c r="M245" s="642"/>
      <c r="N245" s="645"/>
      <c r="O245" s="642"/>
      <c r="P245" s="645"/>
    </row>
  </sheetData>
  <autoFilter ref="A2:V160"/>
  <mergeCells count="1">
    <mergeCell ref="A1:P1"/>
  </mergeCells>
  <phoneticPr fontId="6" type="noConversion"/>
  <printOptions horizontalCentered="1"/>
  <pageMargins left="0.39370078740157483" right="0.39370078740157483" top="0.51181102362204722" bottom="0.51181102362204722" header="0.31496062992125984" footer="0.31496062992125984"/>
  <pageSetup paperSize="9" scale="50" fitToHeight="2" orientation="portrait" r:id="rId1"/>
  <headerFooter>
    <oddHeader>&amp;L&amp;"Arial,Dőlt"&amp;12 &amp;U5. melléklet a 15/2015. (V.29.) önkormányzati rendelethez</oddHeader>
    <oddFooter>&amp;C&amp;12 Nagykőrös Város Önkormányzat 2014. évi zárszámadási rendelete</oddFooter>
  </headerFooter>
  <rowBreaks count="1" manualBreakCount="1">
    <brk id="47" max="1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T36"/>
  <sheetViews>
    <sheetView view="pageLayout" zoomScaleNormal="100" zoomScaleSheetLayoutView="90" workbookViewId="0">
      <selection activeCell="B4" sqref="B4"/>
    </sheetView>
  </sheetViews>
  <sheetFormatPr defaultRowHeight="14.25"/>
  <cols>
    <col min="1" max="1" width="7.140625" style="4" customWidth="1"/>
    <col min="2" max="2" width="64.85546875" style="4" customWidth="1"/>
    <col min="3" max="3" width="15.28515625" style="114" customWidth="1"/>
    <col min="4" max="4" width="14.5703125" style="114" hidden="1" customWidth="1"/>
    <col min="5" max="12" width="15.28515625" style="114" hidden="1" customWidth="1"/>
    <col min="13" max="14" width="15.28515625" style="114" customWidth="1"/>
    <col min="15" max="15" width="18.42578125" style="114" bestFit="1" customWidth="1"/>
    <col min="16" max="17" width="15.28515625" style="112" customWidth="1"/>
    <col min="18" max="18" width="15.28515625" style="4" customWidth="1"/>
    <col min="19" max="19" width="12.28515625" customWidth="1"/>
  </cols>
  <sheetData>
    <row r="1" spans="1:20" s="9" customFormat="1" ht="30" customHeight="1" thickBot="1">
      <c r="A1" s="1787" t="s">
        <v>301</v>
      </c>
      <c r="B1" s="1787"/>
      <c r="C1" s="1787"/>
      <c r="D1" s="1787"/>
      <c r="E1" s="1787"/>
      <c r="F1" s="1787"/>
      <c r="G1" s="1787"/>
      <c r="H1" s="1787"/>
      <c r="I1" s="1787"/>
      <c r="J1" s="1787"/>
      <c r="K1" s="1787"/>
      <c r="L1" s="1787"/>
      <c r="M1" s="1787"/>
      <c r="N1" s="1787"/>
      <c r="O1" s="1787"/>
      <c r="P1" s="1787"/>
      <c r="Q1" s="1787"/>
      <c r="R1" s="1787"/>
    </row>
    <row r="2" spans="1:20" s="105" customFormat="1" ht="46.5" customHeight="1" thickBot="1">
      <c r="A2" s="498" t="s">
        <v>109</v>
      </c>
      <c r="B2" s="499" t="s">
        <v>110</v>
      </c>
      <c r="C2" s="500" t="s">
        <v>284</v>
      </c>
      <c r="D2" s="648" t="s">
        <v>151</v>
      </c>
      <c r="E2" s="500" t="s">
        <v>867</v>
      </c>
      <c r="F2" s="500" t="s">
        <v>863</v>
      </c>
      <c r="G2" s="648" t="s">
        <v>913</v>
      </c>
      <c r="H2" s="500" t="s">
        <v>914</v>
      </c>
      <c r="I2" s="500" t="s">
        <v>912</v>
      </c>
      <c r="J2" s="500" t="s">
        <v>927</v>
      </c>
      <c r="K2" s="500" t="s">
        <v>925</v>
      </c>
      <c r="L2" s="500" t="s">
        <v>927</v>
      </c>
      <c r="M2" s="1448" t="s">
        <v>820</v>
      </c>
      <c r="N2" s="1603" t="s">
        <v>956</v>
      </c>
      <c r="O2" s="1448" t="s">
        <v>957</v>
      </c>
      <c r="P2" s="501" t="s">
        <v>318</v>
      </c>
      <c r="Q2" s="501" t="s">
        <v>319</v>
      </c>
      <c r="R2" s="502" t="s">
        <v>302</v>
      </c>
    </row>
    <row r="3" spans="1:20" s="107" customFormat="1" ht="30.95" customHeight="1">
      <c r="A3" s="487" t="s">
        <v>368</v>
      </c>
      <c r="B3" s="488" t="s">
        <v>809</v>
      </c>
      <c r="C3" s="1080">
        <v>0</v>
      </c>
      <c r="D3" s="1080"/>
      <c r="E3" s="1080">
        <v>5920</v>
      </c>
      <c r="F3" s="1080">
        <v>95</v>
      </c>
      <c r="G3" s="1080">
        <f>E3+F3</f>
        <v>6015</v>
      </c>
      <c r="H3" s="1080">
        <v>3599</v>
      </c>
      <c r="I3" s="1080">
        <f>G3+H3</f>
        <v>9614</v>
      </c>
      <c r="J3" s="1080"/>
      <c r="K3" s="1080">
        <f>I3+J3</f>
        <v>9614</v>
      </c>
      <c r="L3" s="1080"/>
      <c r="M3" s="1080">
        <f>K3+L3</f>
        <v>9614</v>
      </c>
      <c r="N3" s="1604">
        <v>9492</v>
      </c>
      <c r="O3" s="1454">
        <f>N3/M3</f>
        <v>0.98731017266486376</v>
      </c>
      <c r="P3" s="1080">
        <f t="shared" ref="P3:P9" si="0">M3</f>
        <v>9614</v>
      </c>
      <c r="Q3" s="1080">
        <v>0</v>
      </c>
      <c r="R3" s="1081"/>
      <c r="S3" s="106">
        <f>SUM(P3:R3)</f>
        <v>9614</v>
      </c>
    </row>
    <row r="4" spans="1:20" s="107" customFormat="1" ht="30.95" customHeight="1">
      <c r="A4" s="489" t="s">
        <v>369</v>
      </c>
      <c r="B4" s="490" t="s">
        <v>808</v>
      </c>
      <c r="C4" s="1082">
        <v>0</v>
      </c>
      <c r="D4" s="1082"/>
      <c r="E4" s="1082">
        <f>C4+D4</f>
        <v>0</v>
      </c>
      <c r="F4" s="1231"/>
      <c r="G4" s="1080">
        <f>E4+F4</f>
        <v>0</v>
      </c>
      <c r="H4" s="1080"/>
      <c r="I4" s="1080">
        <f>G4+H4</f>
        <v>0</v>
      </c>
      <c r="J4" s="1080"/>
      <c r="K4" s="1080">
        <f>I4+J4</f>
        <v>0</v>
      </c>
      <c r="L4" s="1080"/>
      <c r="M4" s="1080">
        <f>K4+L4</f>
        <v>0</v>
      </c>
      <c r="N4" s="1604"/>
      <c r="O4" s="1454"/>
      <c r="P4" s="1080">
        <f t="shared" si="0"/>
        <v>0</v>
      </c>
      <c r="Q4" s="1082">
        <v>0</v>
      </c>
      <c r="R4" s="1083"/>
      <c r="S4" s="106">
        <f t="shared" ref="S4:S29" si="1">SUM(P4:R4)</f>
        <v>0</v>
      </c>
    </row>
    <row r="5" spans="1:20" s="107" customFormat="1" ht="29.1" customHeight="1">
      <c r="A5" s="489" t="s">
        <v>370</v>
      </c>
      <c r="B5" s="491" t="s">
        <v>381</v>
      </c>
      <c r="C5" s="1082">
        <f>C6</f>
        <v>550</v>
      </c>
      <c r="D5" s="1082">
        <f>D6</f>
        <v>500</v>
      </c>
      <c r="E5" s="1082">
        <f>E6</f>
        <v>1050</v>
      </c>
      <c r="F5" s="1082">
        <f>F6</f>
        <v>200</v>
      </c>
      <c r="G5" s="1080">
        <f>E5+F5</f>
        <v>1250</v>
      </c>
      <c r="H5" s="1080">
        <f>H6</f>
        <v>0</v>
      </c>
      <c r="I5" s="1080">
        <f>G5+H5</f>
        <v>1250</v>
      </c>
      <c r="J5" s="1080"/>
      <c r="K5" s="1080">
        <f>I5+J5</f>
        <v>1250</v>
      </c>
      <c r="L5" s="1080">
        <f>L6</f>
        <v>-690</v>
      </c>
      <c r="M5" s="1080">
        <f>K5+L5</f>
        <v>560</v>
      </c>
      <c r="N5" s="1604">
        <f>N6</f>
        <v>218</v>
      </c>
      <c r="O5" s="1454">
        <f t="shared" ref="O5:O27" si="2">N5/M5</f>
        <v>0.38928571428571429</v>
      </c>
      <c r="P5" s="1080">
        <f t="shared" si="0"/>
        <v>560</v>
      </c>
      <c r="Q5" s="1082">
        <f>Q6</f>
        <v>0</v>
      </c>
      <c r="R5" s="1083"/>
      <c r="S5" s="106">
        <f t="shared" si="1"/>
        <v>560</v>
      </c>
    </row>
    <row r="6" spans="1:20" s="108" customFormat="1" ht="24.95" customHeight="1">
      <c r="A6" s="489" t="s">
        <v>406</v>
      </c>
      <c r="B6" s="491" t="s">
        <v>444</v>
      </c>
      <c r="C6" s="1084">
        <f t="shared" ref="C6:E6" si="3">C7+C8</f>
        <v>550</v>
      </c>
      <c r="D6" s="1084">
        <f t="shared" si="3"/>
        <v>500</v>
      </c>
      <c r="E6" s="1084">
        <f t="shared" si="3"/>
        <v>1050</v>
      </c>
      <c r="F6" s="1084">
        <f>F7+F8+F9</f>
        <v>200</v>
      </c>
      <c r="G6" s="1084">
        <f>G7+G8+G9</f>
        <v>1250</v>
      </c>
      <c r="H6" s="1084">
        <f>H7+H8+H9</f>
        <v>0</v>
      </c>
      <c r="I6" s="1084">
        <f>I7+I8+I9</f>
        <v>1250</v>
      </c>
      <c r="J6" s="1084">
        <f>SUM(J7:J9)</f>
        <v>0</v>
      </c>
      <c r="K6" s="1084">
        <f>SUM(K7:K9)</f>
        <v>1250</v>
      </c>
      <c r="L6" s="1084">
        <f>SUM(L7:L9)</f>
        <v>-690</v>
      </c>
      <c r="M6" s="1084">
        <f>SUM(M7:M9)</f>
        <v>560</v>
      </c>
      <c r="N6" s="1605">
        <f>SUM(N7:N9)</f>
        <v>218</v>
      </c>
      <c r="O6" s="1454">
        <f t="shared" si="2"/>
        <v>0.38928571428571429</v>
      </c>
      <c r="P6" s="1080">
        <f t="shared" si="0"/>
        <v>560</v>
      </c>
      <c r="Q6" s="1085">
        <v>0</v>
      </c>
      <c r="R6" s="1083"/>
      <c r="S6" s="106">
        <f t="shared" si="1"/>
        <v>560</v>
      </c>
    </row>
    <row r="7" spans="1:20" s="109" customFormat="1" ht="20.100000000000001" customHeight="1">
      <c r="A7" s="503"/>
      <c r="B7" s="504" t="s">
        <v>114</v>
      </c>
      <c r="C7" s="1086">
        <v>500</v>
      </c>
      <c r="D7" s="1086">
        <v>500</v>
      </c>
      <c r="E7" s="1086">
        <f>C7+D7</f>
        <v>1000</v>
      </c>
      <c r="F7" s="1233"/>
      <c r="G7" s="1086">
        <f>E7+F7</f>
        <v>1000</v>
      </c>
      <c r="H7" s="1086"/>
      <c r="I7" s="1086">
        <f>G7+H7</f>
        <v>1000</v>
      </c>
      <c r="J7" s="1086"/>
      <c r="K7" s="1086">
        <f>I7+J7</f>
        <v>1000</v>
      </c>
      <c r="L7" s="1086">
        <v>-690</v>
      </c>
      <c r="M7" s="1086">
        <f>K7+L7</f>
        <v>310</v>
      </c>
      <c r="N7" s="1606">
        <v>40</v>
      </c>
      <c r="O7" s="1457">
        <f t="shared" si="2"/>
        <v>0.12903225806451613</v>
      </c>
      <c r="P7" s="1458">
        <f t="shared" si="0"/>
        <v>310</v>
      </c>
      <c r="Q7" s="1087">
        <v>0</v>
      </c>
      <c r="R7" s="1088"/>
      <c r="S7" s="1167">
        <f t="shared" si="1"/>
        <v>310</v>
      </c>
    </row>
    <row r="8" spans="1:20" s="109" customFormat="1" ht="20.100000000000001" customHeight="1">
      <c r="A8" s="503"/>
      <c r="B8" s="504" t="s">
        <v>115</v>
      </c>
      <c r="C8" s="1086">
        <v>50</v>
      </c>
      <c r="D8" s="1086"/>
      <c r="E8" s="1086">
        <f>C8+D8</f>
        <v>50</v>
      </c>
      <c r="F8" s="1086">
        <v>50</v>
      </c>
      <c r="G8" s="1086">
        <f>E8+F8</f>
        <v>100</v>
      </c>
      <c r="H8" s="1086"/>
      <c r="I8" s="1086">
        <f>G8+H8</f>
        <v>100</v>
      </c>
      <c r="J8" s="1086"/>
      <c r="K8" s="1086">
        <f>I8+J8</f>
        <v>100</v>
      </c>
      <c r="L8" s="1086">
        <v>0</v>
      </c>
      <c r="M8" s="1086">
        <f>K8+L8</f>
        <v>100</v>
      </c>
      <c r="N8" s="1606">
        <v>46</v>
      </c>
      <c r="O8" s="1457">
        <f t="shared" si="2"/>
        <v>0.46</v>
      </c>
      <c r="P8" s="1458">
        <f t="shared" si="0"/>
        <v>100</v>
      </c>
      <c r="Q8" s="1087">
        <v>0</v>
      </c>
      <c r="R8" s="1088"/>
      <c r="S8" s="1167">
        <f t="shared" si="1"/>
        <v>100</v>
      </c>
    </row>
    <row r="9" spans="1:20" s="109" customFormat="1" ht="20.100000000000001" customHeight="1">
      <c r="A9" s="503"/>
      <c r="B9" s="504" t="s">
        <v>874</v>
      </c>
      <c r="C9" s="1086"/>
      <c r="D9" s="1086"/>
      <c r="E9" s="1086"/>
      <c r="F9" s="1086">
        <v>150</v>
      </c>
      <c r="G9" s="1086">
        <f>E9+F9</f>
        <v>150</v>
      </c>
      <c r="H9" s="1086"/>
      <c r="I9" s="1086">
        <f>G9+H9</f>
        <v>150</v>
      </c>
      <c r="J9" s="1086"/>
      <c r="K9" s="1086">
        <f>I9+J9</f>
        <v>150</v>
      </c>
      <c r="L9" s="1086"/>
      <c r="M9" s="1086">
        <f>K9+L9</f>
        <v>150</v>
      </c>
      <c r="N9" s="1606">
        <v>132</v>
      </c>
      <c r="O9" s="1457">
        <f t="shared" si="2"/>
        <v>0.88</v>
      </c>
      <c r="P9" s="1458">
        <f t="shared" si="0"/>
        <v>150</v>
      </c>
      <c r="Q9" s="1230"/>
      <c r="R9" s="1088"/>
      <c r="S9" s="1167"/>
    </row>
    <row r="10" spans="1:20" s="107" customFormat="1" ht="29.1" customHeight="1">
      <c r="A10" s="489" t="s">
        <v>371</v>
      </c>
      <c r="B10" s="492" t="s">
        <v>113</v>
      </c>
      <c r="C10" s="1082">
        <f>C12+C14+C16+C17</f>
        <v>30720</v>
      </c>
      <c r="D10" s="1082">
        <f>D12+D14+D16+D17+D20+D15+D19</f>
        <v>1017</v>
      </c>
      <c r="E10" s="1082">
        <f>E12+E14+E16+E17+E20+E15+E19</f>
        <v>31737</v>
      </c>
      <c r="F10" s="1082">
        <f>F12+F14+F16+F17+F20+F11+F19</f>
        <v>50</v>
      </c>
      <c r="G10" s="1082">
        <f>G12+G14+G16+G17+G20+G11+G19+G15</f>
        <v>31787</v>
      </c>
      <c r="H10" s="1082"/>
      <c r="I10" s="1082">
        <f>I12+I14+I16+I17+I20+I11+I19+I15</f>
        <v>31787</v>
      </c>
      <c r="J10" s="1082">
        <f>J11+J12+J14+J15+J16+J17+J19+J20</f>
        <v>0</v>
      </c>
      <c r="K10" s="1082">
        <f>K11+K12+K14+K15+K16+K17+K19+K20</f>
        <v>31787</v>
      </c>
      <c r="L10" s="1082">
        <f>L11+L12+L14+L15+L16+L17+L19+L20</f>
        <v>105</v>
      </c>
      <c r="M10" s="1082">
        <f>M11+M12+M14+M15+M16+M17+M19+M20</f>
        <v>31892</v>
      </c>
      <c r="N10" s="1605">
        <f>N11+N12+N14+N15+N16+N17+N19+N20</f>
        <v>25260</v>
      </c>
      <c r="O10" s="1454">
        <f t="shared" si="2"/>
        <v>0.79204816254860155</v>
      </c>
      <c r="P10" s="1082">
        <v>0</v>
      </c>
      <c r="Q10" s="1082">
        <f>Q11+Q12+Q14+Q15+Q16+Q17+Q19+Q20</f>
        <v>31892</v>
      </c>
      <c r="R10" s="1083"/>
      <c r="S10" s="106">
        <f t="shared" si="1"/>
        <v>31892</v>
      </c>
    </row>
    <row r="11" spans="1:20" s="107" customFormat="1" ht="30.95" customHeight="1">
      <c r="A11" s="489" t="s">
        <v>878</v>
      </c>
      <c r="B11" s="492" t="s">
        <v>879</v>
      </c>
      <c r="C11" s="1082"/>
      <c r="D11" s="1082"/>
      <c r="E11" s="1082"/>
      <c r="F11" s="1082">
        <v>100</v>
      </c>
      <c r="G11" s="1082">
        <v>100</v>
      </c>
      <c r="H11" s="1082"/>
      <c r="I11" s="1082">
        <v>100</v>
      </c>
      <c r="J11" s="1082"/>
      <c r="K11" s="1082">
        <f>I11+J11</f>
        <v>100</v>
      </c>
      <c r="L11" s="1082">
        <v>-66</v>
      </c>
      <c r="M11" s="1082">
        <f>K11+L11</f>
        <v>34</v>
      </c>
      <c r="N11" s="1605">
        <v>6</v>
      </c>
      <c r="O11" s="1454">
        <f t="shared" si="2"/>
        <v>0.17647058823529413</v>
      </c>
      <c r="P11" s="1082"/>
      <c r="Q11" s="1082">
        <f>M11</f>
        <v>34</v>
      </c>
      <c r="R11" s="1083"/>
      <c r="S11" s="106"/>
    </row>
    <row r="12" spans="1:20" s="107" customFormat="1" ht="24.95" customHeight="1">
      <c r="A12" s="489" t="s">
        <v>388</v>
      </c>
      <c r="B12" s="491" t="s">
        <v>389</v>
      </c>
      <c r="C12" s="1082">
        <f t="shared" ref="C12:P12" si="4">C13</f>
        <v>6000</v>
      </c>
      <c r="D12" s="1082">
        <f t="shared" si="4"/>
        <v>0</v>
      </c>
      <c r="E12" s="1082">
        <f t="shared" si="4"/>
        <v>6000</v>
      </c>
      <c r="F12" s="1082">
        <v>-2000</v>
      </c>
      <c r="G12" s="1082">
        <f t="shared" si="4"/>
        <v>4000</v>
      </c>
      <c r="H12" s="1082"/>
      <c r="I12" s="1082">
        <f t="shared" ref="I12:M12" si="5">I13</f>
        <v>4000</v>
      </c>
      <c r="J12" s="1082">
        <f t="shared" si="5"/>
        <v>0</v>
      </c>
      <c r="K12" s="1082">
        <f t="shared" si="5"/>
        <v>4000</v>
      </c>
      <c r="L12" s="1082">
        <f t="shared" si="5"/>
        <v>-620</v>
      </c>
      <c r="M12" s="1082">
        <f t="shared" si="5"/>
        <v>3380</v>
      </c>
      <c r="N12" s="1082">
        <f>N13</f>
        <v>3181</v>
      </c>
      <c r="O12" s="1454">
        <f t="shared" si="2"/>
        <v>0.94112426035502961</v>
      </c>
      <c r="P12" s="1082">
        <f t="shared" si="4"/>
        <v>0</v>
      </c>
      <c r="Q12" s="1082">
        <f>Q13</f>
        <v>3380</v>
      </c>
      <c r="R12" s="1083"/>
      <c r="S12" s="106">
        <f t="shared" si="1"/>
        <v>3380</v>
      </c>
      <c r="T12" s="1671"/>
    </row>
    <row r="13" spans="1:20" s="1168" customFormat="1" ht="20.100000000000001" customHeight="1">
      <c r="A13" s="493"/>
      <c r="B13" s="649" t="s">
        <v>823</v>
      </c>
      <c r="C13" s="1164">
        <v>6000</v>
      </c>
      <c r="D13" s="1164"/>
      <c r="E13" s="1164">
        <f>C13+D13</f>
        <v>6000</v>
      </c>
      <c r="F13" s="1164">
        <v>-2000</v>
      </c>
      <c r="G13" s="1164">
        <f>E13+F13</f>
        <v>4000</v>
      </c>
      <c r="H13" s="1164"/>
      <c r="I13" s="1164">
        <f>G13+H13</f>
        <v>4000</v>
      </c>
      <c r="J13" s="1164"/>
      <c r="K13" s="1164">
        <f>I13+J13</f>
        <v>4000</v>
      </c>
      <c r="L13" s="1164">
        <v>-620</v>
      </c>
      <c r="M13" s="1164">
        <f>K13+L13</f>
        <v>3380</v>
      </c>
      <c r="N13" s="1164">
        <f>2409+772</f>
        <v>3181</v>
      </c>
      <c r="O13" s="1457">
        <f t="shared" si="2"/>
        <v>0.94112426035502961</v>
      </c>
      <c r="P13" s="1164">
        <v>0</v>
      </c>
      <c r="Q13" s="1164">
        <f>M13</f>
        <v>3380</v>
      </c>
      <c r="R13" s="1166"/>
      <c r="S13" s="1167">
        <f t="shared" si="1"/>
        <v>3380</v>
      </c>
    </row>
    <row r="14" spans="1:20" s="107" customFormat="1" ht="24.95" customHeight="1">
      <c r="A14" s="489" t="s">
        <v>391</v>
      </c>
      <c r="B14" s="490" t="s">
        <v>390</v>
      </c>
      <c r="C14" s="1084">
        <v>15000</v>
      </c>
      <c r="D14" s="1084"/>
      <c r="E14" s="1082">
        <f>C14+D14</f>
        <v>15000</v>
      </c>
      <c r="F14" s="1082">
        <v>0</v>
      </c>
      <c r="G14" s="1082">
        <f>E14+F14</f>
        <v>15000</v>
      </c>
      <c r="H14" s="1082"/>
      <c r="I14" s="1082">
        <f>G14+H14</f>
        <v>15000</v>
      </c>
      <c r="J14" s="1082"/>
      <c r="K14" s="1082">
        <f>I14+J14</f>
        <v>15000</v>
      </c>
      <c r="L14" s="1082">
        <v>4000</v>
      </c>
      <c r="M14" s="1082">
        <f>K14+L14</f>
        <v>19000</v>
      </c>
      <c r="N14" s="1082">
        <v>14442</v>
      </c>
      <c r="O14" s="1454">
        <f t="shared" si="2"/>
        <v>0.76010526315789473</v>
      </c>
      <c r="P14" s="1084">
        <v>0</v>
      </c>
      <c r="Q14" s="1082">
        <f>M14</f>
        <v>19000</v>
      </c>
      <c r="R14" s="1089"/>
      <c r="S14" s="106">
        <f t="shared" si="1"/>
        <v>19000</v>
      </c>
      <c r="T14" s="1168"/>
    </row>
    <row r="15" spans="1:20" s="107" customFormat="1" ht="24.95" customHeight="1">
      <c r="A15" s="489" t="s">
        <v>835</v>
      </c>
      <c r="B15" s="1037" t="s">
        <v>838</v>
      </c>
      <c r="C15" s="1084"/>
      <c r="D15" s="1084">
        <v>5</v>
      </c>
      <c r="E15" s="1082">
        <v>5</v>
      </c>
      <c r="F15" s="1231"/>
      <c r="G15" s="1082">
        <f>E15+F15</f>
        <v>5</v>
      </c>
      <c r="H15" s="1082"/>
      <c r="I15" s="1082">
        <f>G15+H15</f>
        <v>5</v>
      </c>
      <c r="J15" s="1082"/>
      <c r="K15" s="1082">
        <f>I15+J15</f>
        <v>5</v>
      </c>
      <c r="L15" s="1082"/>
      <c r="M15" s="1082">
        <f>K15+L15</f>
        <v>5</v>
      </c>
      <c r="N15" s="1082">
        <v>5</v>
      </c>
      <c r="O15" s="1454">
        <f t="shared" si="2"/>
        <v>1</v>
      </c>
      <c r="P15" s="1084"/>
      <c r="Q15" s="1082">
        <f>M15</f>
        <v>5</v>
      </c>
      <c r="R15" s="1089"/>
      <c r="S15" s="106"/>
      <c r="T15" s="1168"/>
    </row>
    <row r="16" spans="1:20" s="107" customFormat="1" ht="24.95" customHeight="1">
      <c r="A16" s="489" t="s">
        <v>395</v>
      </c>
      <c r="B16" s="491" t="s">
        <v>394</v>
      </c>
      <c r="C16" s="1084">
        <v>5670</v>
      </c>
      <c r="D16" s="1084"/>
      <c r="E16" s="1082">
        <f>C16+D16</f>
        <v>5670</v>
      </c>
      <c r="F16" s="1082">
        <v>-200</v>
      </c>
      <c r="G16" s="1082">
        <f>E16+F16</f>
        <v>5470</v>
      </c>
      <c r="H16" s="1082"/>
      <c r="I16" s="1082">
        <f>G16+H16</f>
        <v>5470</v>
      </c>
      <c r="J16" s="1082"/>
      <c r="K16" s="1082">
        <f>I16+J16</f>
        <v>5470</v>
      </c>
      <c r="L16" s="1082">
        <f>435-690</f>
        <v>-255</v>
      </c>
      <c r="M16" s="1082">
        <f>K16+L16</f>
        <v>5215</v>
      </c>
      <c r="N16" s="1082">
        <v>4237</v>
      </c>
      <c r="O16" s="1454">
        <f t="shared" si="2"/>
        <v>0.81246404602109301</v>
      </c>
      <c r="P16" s="1084">
        <v>0</v>
      </c>
      <c r="Q16" s="1082">
        <f>M16</f>
        <v>5215</v>
      </c>
      <c r="R16" s="1089"/>
      <c r="S16" s="106">
        <f t="shared" si="1"/>
        <v>5215</v>
      </c>
      <c r="T16" s="1168"/>
    </row>
    <row r="17" spans="1:20" s="107" customFormat="1" ht="24.95" customHeight="1">
      <c r="A17" s="489" t="s">
        <v>396</v>
      </c>
      <c r="B17" s="494" t="s">
        <v>397</v>
      </c>
      <c r="C17" s="1084">
        <f t="shared" ref="C17:P17" si="6">C18</f>
        <v>4050</v>
      </c>
      <c r="D17" s="1084">
        <f t="shared" si="6"/>
        <v>0</v>
      </c>
      <c r="E17" s="1084">
        <f t="shared" si="6"/>
        <v>4050</v>
      </c>
      <c r="F17" s="1232">
        <f t="shared" si="6"/>
        <v>0</v>
      </c>
      <c r="G17" s="1084">
        <f t="shared" si="6"/>
        <v>4050</v>
      </c>
      <c r="H17" s="1084">
        <f>H18</f>
        <v>0</v>
      </c>
      <c r="I17" s="1084">
        <f>G18</f>
        <v>4050</v>
      </c>
      <c r="J17" s="1084">
        <f>J18</f>
        <v>0</v>
      </c>
      <c r="K17" s="1084">
        <f>K18</f>
        <v>4050</v>
      </c>
      <c r="L17" s="1084">
        <f>L18</f>
        <v>-3435</v>
      </c>
      <c r="M17" s="1084">
        <f>M18</f>
        <v>615</v>
      </c>
      <c r="N17" s="1082">
        <f>N18</f>
        <v>580</v>
      </c>
      <c r="O17" s="1454">
        <f t="shared" si="2"/>
        <v>0.94308943089430897</v>
      </c>
      <c r="P17" s="1084">
        <f t="shared" si="6"/>
        <v>0</v>
      </c>
      <c r="Q17" s="1082">
        <f>Q18</f>
        <v>615</v>
      </c>
      <c r="R17" s="1089"/>
      <c r="S17" s="106">
        <f t="shared" si="1"/>
        <v>615</v>
      </c>
      <c r="T17" s="1168"/>
    </row>
    <row r="18" spans="1:20" s="1168" customFormat="1" ht="20.100000000000001" customHeight="1">
      <c r="A18" s="493"/>
      <c r="B18" s="505" t="s">
        <v>249</v>
      </c>
      <c r="C18" s="1164">
        <v>4050</v>
      </c>
      <c r="D18" s="1164"/>
      <c r="E18" s="1164">
        <f>C18+D18</f>
        <v>4050</v>
      </c>
      <c r="F18" s="1459"/>
      <c r="G18" s="1164">
        <f t="shared" ref="G18:G24" si="7">E18+F18</f>
        <v>4050</v>
      </c>
      <c r="H18" s="1164"/>
      <c r="I18" s="1164">
        <f t="shared" ref="I18:I24" si="8">G18+H18</f>
        <v>4050</v>
      </c>
      <c r="J18" s="1164"/>
      <c r="K18" s="1164">
        <f t="shared" ref="K18:M23" si="9">I18+J18</f>
        <v>4050</v>
      </c>
      <c r="L18" s="1164">
        <v>-3435</v>
      </c>
      <c r="M18" s="1164">
        <f t="shared" si="9"/>
        <v>615</v>
      </c>
      <c r="N18" s="1164">
        <v>580</v>
      </c>
      <c r="O18" s="1457">
        <f t="shared" si="2"/>
        <v>0.94308943089430897</v>
      </c>
      <c r="P18" s="1164">
        <v>0</v>
      </c>
      <c r="Q18" s="1164">
        <f>M18</f>
        <v>615</v>
      </c>
      <c r="R18" s="1166"/>
      <c r="S18" s="1167">
        <f t="shared" si="1"/>
        <v>615</v>
      </c>
    </row>
    <row r="19" spans="1:20" s="107" customFormat="1" ht="24.95" customHeight="1">
      <c r="A19" s="489" t="s">
        <v>398</v>
      </c>
      <c r="B19" s="1037" t="s">
        <v>836</v>
      </c>
      <c r="C19" s="1084"/>
      <c r="D19" s="1084">
        <v>270</v>
      </c>
      <c r="E19" s="1082">
        <v>270</v>
      </c>
      <c r="F19" s="1082">
        <v>150</v>
      </c>
      <c r="G19" s="1082">
        <f>E19+F19</f>
        <v>420</v>
      </c>
      <c r="H19" s="1082"/>
      <c r="I19" s="1082">
        <f t="shared" si="8"/>
        <v>420</v>
      </c>
      <c r="J19" s="1082"/>
      <c r="K19" s="1082">
        <f t="shared" si="9"/>
        <v>420</v>
      </c>
      <c r="L19" s="1082">
        <v>66</v>
      </c>
      <c r="M19" s="1082">
        <f t="shared" si="9"/>
        <v>486</v>
      </c>
      <c r="N19" s="1082">
        <v>486</v>
      </c>
      <c r="O19" s="1454">
        <f t="shared" si="2"/>
        <v>1</v>
      </c>
      <c r="P19" s="1084"/>
      <c r="Q19" s="1082">
        <f>M19</f>
        <v>486</v>
      </c>
      <c r="R19" s="1089"/>
      <c r="S19" s="106"/>
      <c r="T19" s="1168"/>
    </row>
    <row r="20" spans="1:20" s="107" customFormat="1" ht="24.95" customHeight="1">
      <c r="A20" s="489" t="s">
        <v>402</v>
      </c>
      <c r="B20" s="1041" t="s">
        <v>403</v>
      </c>
      <c r="C20" s="1082"/>
      <c r="D20" s="1082">
        <f>85+657</f>
        <v>742</v>
      </c>
      <c r="E20" s="1082">
        <f>85+657</f>
        <v>742</v>
      </c>
      <c r="F20" s="1082">
        <v>2000</v>
      </c>
      <c r="G20" s="1082">
        <f t="shared" si="7"/>
        <v>2742</v>
      </c>
      <c r="H20" s="1082"/>
      <c r="I20" s="1082">
        <f t="shared" si="8"/>
        <v>2742</v>
      </c>
      <c r="J20" s="1082"/>
      <c r="K20" s="1082">
        <f t="shared" si="9"/>
        <v>2742</v>
      </c>
      <c r="L20" s="1082">
        <v>415</v>
      </c>
      <c r="M20" s="1082">
        <f t="shared" si="9"/>
        <v>3157</v>
      </c>
      <c r="N20" s="1605">
        <v>2323</v>
      </c>
      <c r="O20" s="1454">
        <f t="shared" si="2"/>
        <v>0.73582515045929675</v>
      </c>
      <c r="P20" s="1082"/>
      <c r="Q20" s="1082">
        <f>M20</f>
        <v>3157</v>
      </c>
      <c r="R20" s="1083"/>
      <c r="S20" s="106"/>
      <c r="T20" s="1168"/>
    </row>
    <row r="21" spans="1:20" s="107" customFormat="1" ht="29.1" customHeight="1">
      <c r="A21" s="489" t="s">
        <v>372</v>
      </c>
      <c r="B21" s="491" t="s">
        <v>382</v>
      </c>
      <c r="C21" s="1082">
        <v>0</v>
      </c>
      <c r="D21" s="1082"/>
      <c r="E21" s="1082">
        <f>C21+D21</f>
        <v>0</v>
      </c>
      <c r="F21" s="1231"/>
      <c r="G21" s="1082">
        <f t="shared" si="7"/>
        <v>0</v>
      </c>
      <c r="H21" s="1082"/>
      <c r="I21" s="1082">
        <f t="shared" si="8"/>
        <v>0</v>
      </c>
      <c r="J21" s="1082"/>
      <c r="K21" s="1082">
        <f t="shared" si="9"/>
        <v>0</v>
      </c>
      <c r="L21" s="1082"/>
      <c r="M21" s="1082">
        <f t="shared" si="9"/>
        <v>0</v>
      </c>
      <c r="N21" s="1605"/>
      <c r="O21" s="1454"/>
      <c r="P21" s="1082">
        <v>0</v>
      </c>
      <c r="Q21" s="1085">
        <v>0</v>
      </c>
      <c r="R21" s="1083"/>
      <c r="S21" s="106">
        <f t="shared" si="1"/>
        <v>0</v>
      </c>
      <c r="T21" s="1168"/>
    </row>
    <row r="22" spans="1:20" s="107" customFormat="1" ht="29.1" customHeight="1">
      <c r="A22" s="489" t="s">
        <v>373</v>
      </c>
      <c r="B22" s="490" t="s">
        <v>383</v>
      </c>
      <c r="C22" s="1082">
        <v>0</v>
      </c>
      <c r="D22" s="1082">
        <v>5920</v>
      </c>
      <c r="E22" s="1082">
        <v>0</v>
      </c>
      <c r="F22" s="1082">
        <v>700</v>
      </c>
      <c r="G22" s="1082">
        <f t="shared" si="7"/>
        <v>700</v>
      </c>
      <c r="H22" s="1082"/>
      <c r="I22" s="1082">
        <f t="shared" si="8"/>
        <v>700</v>
      </c>
      <c r="J22" s="1082"/>
      <c r="K22" s="1082">
        <f t="shared" si="9"/>
        <v>700</v>
      </c>
      <c r="L22" s="1082"/>
      <c r="M22" s="1082">
        <f t="shared" si="9"/>
        <v>700</v>
      </c>
      <c r="N22" s="1605">
        <v>592</v>
      </c>
      <c r="O22" s="1454">
        <f t="shared" si="2"/>
        <v>0.84571428571428575</v>
      </c>
      <c r="P22" s="1082">
        <f>E22</f>
        <v>0</v>
      </c>
      <c r="Q22" s="1085">
        <f>M22</f>
        <v>700</v>
      </c>
      <c r="R22" s="1083"/>
      <c r="S22" s="106">
        <f t="shared" si="1"/>
        <v>700</v>
      </c>
      <c r="T22" s="1168"/>
    </row>
    <row r="23" spans="1:20" s="107" customFormat="1" ht="29.1" customHeight="1">
      <c r="A23" s="489" t="s">
        <v>374</v>
      </c>
      <c r="B23" s="490" t="s">
        <v>384</v>
      </c>
      <c r="C23" s="1082">
        <v>0</v>
      </c>
      <c r="D23" s="1082"/>
      <c r="E23" s="1082">
        <f>C23+D23</f>
        <v>0</v>
      </c>
      <c r="F23" s="1082">
        <v>415</v>
      </c>
      <c r="G23" s="1082">
        <f t="shared" si="7"/>
        <v>415</v>
      </c>
      <c r="H23" s="1082"/>
      <c r="I23" s="1082">
        <f t="shared" si="8"/>
        <v>415</v>
      </c>
      <c r="J23" s="1082"/>
      <c r="K23" s="1082">
        <f t="shared" si="9"/>
        <v>415</v>
      </c>
      <c r="L23" s="1082">
        <v>-415</v>
      </c>
      <c r="M23" s="1082">
        <f t="shared" si="9"/>
        <v>0</v>
      </c>
      <c r="N23" s="1605"/>
      <c r="O23" s="1454"/>
      <c r="P23" s="1082">
        <v>0</v>
      </c>
      <c r="Q23" s="1085">
        <f>M23</f>
        <v>0</v>
      </c>
      <c r="R23" s="1083"/>
      <c r="S23" s="106">
        <f t="shared" si="1"/>
        <v>0</v>
      </c>
      <c r="T23" s="1168"/>
    </row>
    <row r="24" spans="1:20" s="107" customFormat="1" ht="29.1" customHeight="1">
      <c r="A24" s="489" t="s">
        <v>375</v>
      </c>
      <c r="B24" s="491" t="s">
        <v>121</v>
      </c>
      <c r="C24" s="1082">
        <f>C25+C28</f>
        <v>921111</v>
      </c>
      <c r="D24" s="1082">
        <f>D25+D28</f>
        <v>21438</v>
      </c>
      <c r="E24" s="1082">
        <f>E25+E28</f>
        <v>942549</v>
      </c>
      <c r="F24" s="1082">
        <f>F25+F28</f>
        <v>-39197</v>
      </c>
      <c r="G24" s="1082">
        <f t="shared" si="7"/>
        <v>903352</v>
      </c>
      <c r="H24" s="1082">
        <f>H25+H28</f>
        <v>20162</v>
      </c>
      <c r="I24" s="1082">
        <f t="shared" si="8"/>
        <v>923514</v>
      </c>
      <c r="J24" s="1082">
        <f t="shared" ref="J24:Q24" si="10">J25+J28</f>
        <v>-137176</v>
      </c>
      <c r="K24" s="1082">
        <f t="shared" si="10"/>
        <v>936338</v>
      </c>
      <c r="L24" s="1082">
        <f t="shared" si="10"/>
        <v>-19933</v>
      </c>
      <c r="M24" s="1082">
        <f t="shared" si="10"/>
        <v>916405</v>
      </c>
      <c r="N24" s="1605">
        <f>N25+N28</f>
        <v>721512</v>
      </c>
      <c r="O24" s="1454">
        <f t="shared" si="2"/>
        <v>0.78732874656947527</v>
      </c>
      <c r="P24" s="1082">
        <f t="shared" si="10"/>
        <v>568080</v>
      </c>
      <c r="Q24" s="1082">
        <f t="shared" si="10"/>
        <v>348325.25</v>
      </c>
      <c r="R24" s="1083"/>
      <c r="S24" s="106">
        <f t="shared" si="1"/>
        <v>916405.25</v>
      </c>
      <c r="T24" s="1168"/>
    </row>
    <row r="25" spans="1:20" s="107" customFormat="1" ht="24.95" customHeight="1">
      <c r="A25" s="489" t="s">
        <v>440</v>
      </c>
      <c r="B25" s="491" t="s">
        <v>441</v>
      </c>
      <c r="C25" s="1082">
        <f>C26+C27</f>
        <v>64100</v>
      </c>
      <c r="D25" s="1082">
        <f>D26+D27</f>
        <v>20679</v>
      </c>
      <c r="E25" s="1082">
        <f>E26+E27</f>
        <v>84779</v>
      </c>
      <c r="F25" s="1082">
        <f>F26+F27</f>
        <v>0</v>
      </c>
      <c r="G25" s="1082">
        <f>G26+G27</f>
        <v>84779</v>
      </c>
      <c r="H25" s="1082"/>
      <c r="I25" s="1082">
        <f>I26+I27</f>
        <v>84779</v>
      </c>
      <c r="J25" s="1082"/>
      <c r="K25" s="1082">
        <f>K26+K27</f>
        <v>84779</v>
      </c>
      <c r="L25" s="1082"/>
      <c r="M25" s="1082">
        <f>M26+M27</f>
        <v>84779</v>
      </c>
      <c r="N25" s="1605">
        <f>N26+N27</f>
        <v>84779</v>
      </c>
      <c r="O25" s="1454">
        <f t="shared" si="2"/>
        <v>1</v>
      </c>
      <c r="P25" s="1082">
        <v>63585</v>
      </c>
      <c r="Q25" s="1082">
        <f>Q26+Q27</f>
        <v>21194.25</v>
      </c>
      <c r="R25" s="1083"/>
      <c r="S25" s="106">
        <f t="shared" si="1"/>
        <v>84779.25</v>
      </c>
      <c r="T25" s="1168"/>
    </row>
    <row r="26" spans="1:20" s="1168" customFormat="1" ht="20.100000000000001" customHeight="1">
      <c r="A26" s="493"/>
      <c r="B26" s="506" t="s">
        <v>959</v>
      </c>
      <c r="C26" s="1164">
        <v>47100</v>
      </c>
      <c r="D26" s="1164">
        <f>52449-47100</f>
        <v>5349</v>
      </c>
      <c r="E26" s="1164">
        <f>C26+D26</f>
        <v>52449</v>
      </c>
      <c r="F26" s="1164"/>
      <c r="G26" s="1164">
        <f>E26+F26</f>
        <v>52449</v>
      </c>
      <c r="H26" s="1164"/>
      <c r="I26" s="1164">
        <f>G26+H26</f>
        <v>52449</v>
      </c>
      <c r="J26" s="1164"/>
      <c r="K26" s="1164">
        <f>I26+J26</f>
        <v>52449</v>
      </c>
      <c r="L26" s="1164"/>
      <c r="M26" s="1164">
        <f>K26+L26</f>
        <v>52449</v>
      </c>
      <c r="N26" s="1164">
        <v>52449</v>
      </c>
      <c r="O26" s="1457">
        <f t="shared" si="2"/>
        <v>1</v>
      </c>
      <c r="P26" s="1164">
        <f>M26*0.75</f>
        <v>39336.75</v>
      </c>
      <c r="Q26" s="1165">
        <f>E26-P26</f>
        <v>13112.25</v>
      </c>
      <c r="R26" s="1166"/>
      <c r="S26" s="1167">
        <f t="shared" si="1"/>
        <v>52449</v>
      </c>
    </row>
    <row r="27" spans="1:20" s="1168" customFormat="1" ht="20.100000000000001" customHeight="1">
      <c r="A27" s="493"/>
      <c r="B27" s="506" t="s">
        <v>170</v>
      </c>
      <c r="C27" s="1164">
        <v>17000</v>
      </c>
      <c r="D27" s="1164">
        <f>32330-17000</f>
        <v>15330</v>
      </c>
      <c r="E27" s="1164">
        <f>C27+D27</f>
        <v>32330</v>
      </c>
      <c r="F27" s="1164"/>
      <c r="G27" s="1164">
        <f>E27+F27</f>
        <v>32330</v>
      </c>
      <c r="H27" s="1164"/>
      <c r="I27" s="1164">
        <f>G27+H27</f>
        <v>32330</v>
      </c>
      <c r="J27" s="1164"/>
      <c r="K27" s="1164">
        <f>I27+J27</f>
        <v>32330</v>
      </c>
      <c r="L27" s="1164"/>
      <c r="M27" s="1164">
        <f>K27+L27</f>
        <v>32330</v>
      </c>
      <c r="N27" s="1164">
        <v>32330</v>
      </c>
      <c r="O27" s="1457">
        <f t="shared" si="2"/>
        <v>1</v>
      </c>
      <c r="P27" s="1164">
        <f>E27*0.75</f>
        <v>24247.5</v>
      </c>
      <c r="Q27" s="1165">
        <v>8082</v>
      </c>
      <c r="R27" s="1166"/>
      <c r="S27" s="1167">
        <f t="shared" si="1"/>
        <v>32329.5</v>
      </c>
    </row>
    <row r="28" spans="1:20" s="107" customFormat="1" ht="24.95" customHeight="1" thickBot="1">
      <c r="A28" s="495" t="s">
        <v>442</v>
      </c>
      <c r="B28" s="507" t="s">
        <v>443</v>
      </c>
      <c r="C28" s="1090">
        <v>857011</v>
      </c>
      <c r="D28" s="1090">
        <v>759</v>
      </c>
      <c r="E28" s="1082">
        <f>C28+D28</f>
        <v>857770</v>
      </c>
      <c r="F28" s="1090">
        <f>303-39500</f>
        <v>-39197</v>
      </c>
      <c r="G28" s="1082">
        <f>E28+F28</f>
        <v>818573</v>
      </c>
      <c r="H28" s="1090">
        <f>162+20000</f>
        <v>20162</v>
      </c>
      <c r="I28" s="1090">
        <f>G28+H28</f>
        <v>838735</v>
      </c>
      <c r="J28" s="1090">
        <f>82+3000-150000+10160-418</f>
        <v>-137176</v>
      </c>
      <c r="K28" s="1090">
        <f>I28+J28+150000</f>
        <v>851559</v>
      </c>
      <c r="L28" s="1090">
        <f>67-20000</f>
        <v>-19933</v>
      </c>
      <c r="M28" s="1090">
        <f>K28+L28</f>
        <v>831626</v>
      </c>
      <c r="N28" s="1663">
        <v>636733</v>
      </c>
      <c r="O28" s="1455">
        <f>N28/M28</f>
        <v>0.76564826015540643</v>
      </c>
      <c r="P28" s="1090">
        <v>504495</v>
      </c>
      <c r="Q28" s="1091">
        <v>327131</v>
      </c>
      <c r="R28" s="1092"/>
      <c r="S28" s="106">
        <f t="shared" si="1"/>
        <v>831626</v>
      </c>
      <c r="T28" s="1168"/>
    </row>
    <row r="29" spans="1:20" s="110" customFormat="1" ht="30" customHeight="1" thickBot="1">
      <c r="A29" s="1785" t="s">
        <v>1</v>
      </c>
      <c r="B29" s="1786"/>
      <c r="C29" s="1093">
        <f t="shared" ref="C29:R29" si="11">C3+C4+C5+C10+C21+C22+C23+C24</f>
        <v>952381</v>
      </c>
      <c r="D29" s="1093">
        <f t="shared" si="11"/>
        <v>28875</v>
      </c>
      <c r="E29" s="1093">
        <f t="shared" si="11"/>
        <v>981256</v>
      </c>
      <c r="F29" s="1093">
        <f t="shared" si="11"/>
        <v>-37737</v>
      </c>
      <c r="G29" s="1093">
        <f t="shared" si="11"/>
        <v>943519</v>
      </c>
      <c r="H29" s="1093">
        <f t="shared" ref="H29:M29" si="12">H3+H4+H5+H10+H21+H22+H23+H24</f>
        <v>23761</v>
      </c>
      <c r="I29" s="1093">
        <f t="shared" si="12"/>
        <v>967280</v>
      </c>
      <c r="J29" s="1093">
        <f t="shared" si="12"/>
        <v>-137176</v>
      </c>
      <c r="K29" s="1093">
        <f t="shared" si="12"/>
        <v>980104</v>
      </c>
      <c r="L29" s="1093">
        <f>L3+L4+L5+L10+L21+L22+L23+L24</f>
        <v>-20933</v>
      </c>
      <c r="M29" s="1093">
        <f t="shared" si="12"/>
        <v>959171</v>
      </c>
      <c r="N29" s="1093">
        <f>N3+N4+N5+N10+N21+N22+N23+N24</f>
        <v>757074</v>
      </c>
      <c r="O29" s="1456">
        <f>N29/M29</f>
        <v>0.78930034373432889</v>
      </c>
      <c r="P29" s="1093">
        <f t="shared" si="11"/>
        <v>578254</v>
      </c>
      <c r="Q29" s="1093">
        <f t="shared" si="11"/>
        <v>380917.25</v>
      </c>
      <c r="R29" s="1094">
        <f t="shared" si="11"/>
        <v>0</v>
      </c>
      <c r="S29" s="106">
        <f t="shared" si="1"/>
        <v>959171.25</v>
      </c>
      <c r="T29" s="1168"/>
    </row>
    <row r="31" spans="1:20"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20">
      <c r="B32" s="4" t="s">
        <v>98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Q32" s="578" t="s">
        <v>98</v>
      </c>
    </row>
    <row r="33" spans="2:15">
      <c r="C33" s="579" t="s">
        <v>98</v>
      </c>
      <c r="D33" s="579"/>
      <c r="E33" s="579"/>
      <c r="F33" s="579"/>
      <c r="G33" s="579"/>
      <c r="H33" s="579"/>
      <c r="I33" s="579"/>
      <c r="J33" s="579"/>
      <c r="K33" s="579"/>
      <c r="L33" s="579"/>
      <c r="M33" s="579"/>
      <c r="N33" s="579"/>
      <c r="O33" s="579"/>
    </row>
    <row r="34" spans="2:15">
      <c r="B34" s="4" t="s">
        <v>98</v>
      </c>
    </row>
    <row r="36" spans="2:15">
      <c r="E36" s="114" t="s">
        <v>98</v>
      </c>
    </row>
  </sheetData>
  <protectedRanges>
    <protectedRange sqref="R3:R5 Q21:R23 R10:R20" name="Tartomány21_1"/>
    <protectedRange sqref="R24:R25 Q26:R28" name="Tartomány11_1"/>
    <protectedRange sqref="C22:D22 P22" name="Tartomány2_1"/>
  </protectedRanges>
  <mergeCells count="2">
    <mergeCell ref="A29:B29"/>
    <mergeCell ref="A1:R1"/>
  </mergeCells>
  <phoneticPr fontId="14" type="noConversion"/>
  <printOptions horizontalCentered="1"/>
  <pageMargins left="0.70866141732283472" right="0.70866141732283472" top="0.59055118110236227" bottom="0.59055118110236227" header="0.31496062992125984" footer="0.31496062992125984"/>
  <pageSetup paperSize="9" scale="68" orientation="landscape" r:id="rId1"/>
  <headerFooter alignWithMargins="0">
    <oddHeader>&amp;L&amp;"Arial,Dőlt"&amp;11 &amp;U6. melléklet a 15/2015. (V.29.) önkormányzati rendelethez</oddHeader>
    <oddFooter>&amp;C Nagykőrös Város Önkormányzat 2014. évi zárszámadási rendelete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AC190"/>
  <sheetViews>
    <sheetView view="pageLayout" zoomScaleNormal="100" zoomScaleSheetLayoutView="100" workbookViewId="0">
      <selection activeCell="B15" sqref="B15"/>
    </sheetView>
  </sheetViews>
  <sheetFormatPr defaultColWidth="9.140625" defaultRowHeight="12.75"/>
  <cols>
    <col min="1" max="1" width="6.42578125" style="2" bestFit="1" customWidth="1"/>
    <col min="2" max="2" width="53.140625" style="2" customWidth="1"/>
    <col min="3" max="3" width="15.140625" style="1" customWidth="1"/>
    <col min="4" max="4" width="16.28515625" style="1" hidden="1" customWidth="1"/>
    <col min="5" max="5" width="15.140625" style="1" hidden="1" customWidth="1"/>
    <col min="6" max="6" width="14.5703125" style="1" hidden="1" customWidth="1"/>
    <col min="7" max="12" width="15.140625" style="1" hidden="1" customWidth="1"/>
    <col min="13" max="14" width="15.140625" style="1" customWidth="1"/>
    <col min="15" max="15" width="17.85546875" style="1" bestFit="1" customWidth="1"/>
    <col min="16" max="16" width="15.140625" style="1" customWidth="1"/>
    <col min="17" max="17" width="14.5703125" style="2" customWidth="1"/>
    <col min="18" max="18" width="11.42578125" style="3" customWidth="1"/>
    <col min="19" max="20" width="0" style="29" hidden="1" customWidth="1"/>
    <col min="21" max="21" width="13.7109375" style="29" customWidth="1"/>
    <col min="22" max="22" width="9.5703125" style="1" bestFit="1" customWidth="1"/>
    <col min="23" max="23" width="10.5703125" style="1" bestFit="1" customWidth="1"/>
    <col min="24" max="16384" width="9.140625" style="1"/>
  </cols>
  <sheetData>
    <row r="1" spans="1:29" ht="56.25" customHeight="1" thickBot="1">
      <c r="A1" s="1810" t="s">
        <v>450</v>
      </c>
      <c r="B1" s="1810"/>
      <c r="C1" s="1810"/>
      <c r="D1" s="1810"/>
      <c r="E1" s="1810"/>
      <c r="F1" s="1810"/>
      <c r="G1" s="1810"/>
      <c r="H1" s="1810"/>
      <c r="I1" s="1810"/>
      <c r="J1" s="1810"/>
      <c r="K1" s="1810"/>
      <c r="L1" s="1810"/>
      <c r="M1" s="1810"/>
      <c r="N1" s="1810"/>
      <c r="O1" s="1810"/>
      <c r="P1" s="1810"/>
      <c r="Q1" s="1810"/>
      <c r="R1" s="1810"/>
    </row>
    <row r="2" spans="1:29" s="508" customFormat="1" ht="48.75" customHeight="1" thickBot="1">
      <c r="A2" s="1277" t="s">
        <v>130</v>
      </c>
      <c r="B2" s="1278" t="s">
        <v>131</v>
      </c>
      <c r="C2" s="500" t="s">
        <v>284</v>
      </c>
      <c r="D2" s="648" t="s">
        <v>151</v>
      </c>
      <c r="E2" s="500" t="s">
        <v>868</v>
      </c>
      <c r="F2" s="500" t="s">
        <v>863</v>
      </c>
      <c r="G2" s="648" t="s">
        <v>913</v>
      </c>
      <c r="H2" s="500" t="s">
        <v>864</v>
      </c>
      <c r="I2" s="500" t="s">
        <v>912</v>
      </c>
      <c r="J2" s="500" t="s">
        <v>864</v>
      </c>
      <c r="K2" s="500" t="s">
        <v>912</v>
      </c>
      <c r="L2" s="500" t="s">
        <v>864</v>
      </c>
      <c r="M2" s="500" t="s">
        <v>820</v>
      </c>
      <c r="N2" s="500" t="s">
        <v>956</v>
      </c>
      <c r="O2" s="500" t="s">
        <v>957</v>
      </c>
      <c r="P2" s="501" t="s">
        <v>318</v>
      </c>
      <c r="Q2" s="501" t="s">
        <v>319</v>
      </c>
      <c r="R2" s="502" t="s">
        <v>302</v>
      </c>
      <c r="S2" s="650" t="s">
        <v>134</v>
      </c>
      <c r="T2" s="651" t="s">
        <v>134</v>
      </c>
      <c r="U2" s="652"/>
    </row>
    <row r="3" spans="1:29" s="509" customFormat="1" ht="24" customHeight="1" thickBot="1">
      <c r="A3" s="660" t="s">
        <v>218</v>
      </c>
      <c r="B3" s="1292" t="s">
        <v>482</v>
      </c>
      <c r="C3" s="1289"/>
      <c r="D3" s="1289"/>
      <c r="E3" s="1289"/>
      <c r="F3" s="1289"/>
      <c r="G3" s="1289"/>
      <c r="H3" s="1289"/>
      <c r="I3" s="1289"/>
      <c r="J3" s="1333"/>
      <c r="K3" s="1333"/>
      <c r="L3" s="1358"/>
      <c r="M3" s="1358"/>
      <c r="N3" s="1422"/>
      <c r="O3" s="1460"/>
      <c r="P3" s="1815"/>
      <c r="Q3" s="1817"/>
      <c r="R3" s="1818"/>
      <c r="S3" s="653"/>
      <c r="T3" s="654"/>
      <c r="U3" s="655"/>
      <c r="AC3" s="510"/>
    </row>
    <row r="4" spans="1:29" s="104" customFormat="1" ht="16.899999999999999" customHeight="1">
      <c r="A4" s="1788"/>
      <c r="B4" s="516" t="s">
        <v>40</v>
      </c>
      <c r="C4" s="876">
        <v>37853</v>
      </c>
      <c r="D4" s="876">
        <f>413+142</f>
        <v>555</v>
      </c>
      <c r="E4" s="876">
        <f>C4+D4</f>
        <v>38408</v>
      </c>
      <c r="F4" s="876">
        <f>239+227+1268</f>
        <v>1734</v>
      </c>
      <c r="G4" s="876">
        <f>E4+F4</f>
        <v>40142</v>
      </c>
      <c r="H4" s="876">
        <f>3493+156</f>
        <v>3649</v>
      </c>
      <c r="I4" s="876">
        <f>G4+H4</f>
        <v>43791</v>
      </c>
      <c r="J4" s="876">
        <f>2190+78</f>
        <v>2268</v>
      </c>
      <c r="K4" s="876">
        <f>I4+J4</f>
        <v>46059</v>
      </c>
      <c r="L4" s="876">
        <f>78+700</f>
        <v>778</v>
      </c>
      <c r="M4" s="876">
        <f>K4+L4</f>
        <v>46837</v>
      </c>
      <c r="N4" s="1608">
        <v>46826</v>
      </c>
      <c r="O4" s="1468">
        <f>N4/M4</f>
        <v>0.99976514294254537</v>
      </c>
      <c r="P4" s="876">
        <v>46837</v>
      </c>
      <c r="Q4" s="876">
        <v>0</v>
      </c>
      <c r="R4" s="877">
        <v>0</v>
      </c>
      <c r="S4" s="878"/>
      <c r="T4" s="879"/>
      <c r="U4" s="880">
        <f>P4+Q4+R4</f>
        <v>46837</v>
      </c>
      <c r="AC4" s="511"/>
    </row>
    <row r="5" spans="1:29" s="104" customFormat="1" ht="31.5">
      <c r="A5" s="1789"/>
      <c r="B5" s="517" t="s">
        <v>303</v>
      </c>
      <c r="C5" s="881">
        <v>10380</v>
      </c>
      <c r="D5" s="881">
        <f>112+19</f>
        <v>131</v>
      </c>
      <c r="E5" s="876">
        <f>C5+D5</f>
        <v>10511</v>
      </c>
      <c r="F5" s="876">
        <f>64+30+418</f>
        <v>512</v>
      </c>
      <c r="G5" s="876">
        <f t="shared" ref="G5:G14" si="0">E5+F5</f>
        <v>11023</v>
      </c>
      <c r="H5" s="876">
        <f>472+42</f>
        <v>514</v>
      </c>
      <c r="I5" s="876">
        <f t="shared" ref="I5:I15" si="1">G5+H5</f>
        <v>11537</v>
      </c>
      <c r="J5" s="876">
        <f>-424+21</f>
        <v>-403</v>
      </c>
      <c r="K5" s="876">
        <f>I5+J5</f>
        <v>11134</v>
      </c>
      <c r="L5" s="876">
        <f>21-700</f>
        <v>-679</v>
      </c>
      <c r="M5" s="876">
        <v>10437</v>
      </c>
      <c r="N5" s="1608">
        <v>10435</v>
      </c>
      <c r="O5" s="1468">
        <f t="shared" ref="O5:O15" si="2">N5/M5</f>
        <v>0.99980837405384693</v>
      </c>
      <c r="P5" s="876">
        <v>10455</v>
      </c>
      <c r="Q5" s="881">
        <v>0</v>
      </c>
      <c r="R5" s="882">
        <v>0</v>
      </c>
      <c r="S5" s="878"/>
      <c r="T5" s="879"/>
      <c r="U5" s="880">
        <f t="shared" ref="U5:U67" si="3">P5+Q5+R5</f>
        <v>10455</v>
      </c>
      <c r="AC5" s="511"/>
    </row>
    <row r="6" spans="1:29" s="104" customFormat="1" ht="16.899999999999999" customHeight="1">
      <c r="A6" s="1789"/>
      <c r="B6" s="517" t="s">
        <v>132</v>
      </c>
      <c r="C6" s="881">
        <v>35800</v>
      </c>
      <c r="D6" s="881">
        <f>2552+3621+280+1661-1661</f>
        <v>6453</v>
      </c>
      <c r="E6" s="876">
        <f>C6+D6</f>
        <v>42253</v>
      </c>
      <c r="F6" s="876">
        <f>918+313+1500+650+9777+200+8000</f>
        <v>21358</v>
      </c>
      <c r="G6" s="876">
        <f t="shared" si="0"/>
        <v>63611</v>
      </c>
      <c r="H6" s="876">
        <f>3476-2944</f>
        <v>532</v>
      </c>
      <c r="I6" s="876">
        <f t="shared" si="1"/>
        <v>64143</v>
      </c>
      <c r="J6" s="876">
        <f>1420+3602</f>
        <v>5022</v>
      </c>
      <c r="K6" s="876">
        <f>I6+J6</f>
        <v>69165</v>
      </c>
      <c r="L6" s="876">
        <f>600+4385+1200</f>
        <v>6185</v>
      </c>
      <c r="M6" s="876">
        <v>75473</v>
      </c>
      <c r="N6" s="1608">
        <v>74217</v>
      </c>
      <c r="O6" s="1468">
        <f t="shared" si="2"/>
        <v>0.98335828706954809</v>
      </c>
      <c r="P6" s="876">
        <v>75350</v>
      </c>
      <c r="Q6" s="881">
        <v>0</v>
      </c>
      <c r="R6" s="882">
        <v>0</v>
      </c>
      <c r="S6" s="878"/>
      <c r="T6" s="879"/>
      <c r="U6" s="880">
        <f t="shared" si="3"/>
        <v>75350</v>
      </c>
      <c r="AC6" s="511"/>
    </row>
    <row r="7" spans="1:29" s="104" customFormat="1" ht="16.899999999999999" customHeight="1">
      <c r="A7" s="1789"/>
      <c r="B7" s="517" t="s">
        <v>42</v>
      </c>
      <c r="C7" s="881">
        <v>0</v>
      </c>
      <c r="D7" s="881"/>
      <c r="E7" s="876">
        <f>C7+D7</f>
        <v>0</v>
      </c>
      <c r="F7" s="876"/>
      <c r="G7" s="876">
        <f t="shared" si="0"/>
        <v>0</v>
      </c>
      <c r="H7" s="876"/>
      <c r="I7" s="876">
        <f t="shared" si="1"/>
        <v>0</v>
      </c>
      <c r="J7" s="876"/>
      <c r="K7" s="876">
        <f>I7+J7</f>
        <v>0</v>
      </c>
      <c r="L7" s="876"/>
      <c r="M7" s="876">
        <f>K7+L7</f>
        <v>0</v>
      </c>
      <c r="N7" s="876"/>
      <c r="O7" s="1468"/>
      <c r="P7" s="876">
        <f>K7</f>
        <v>0</v>
      </c>
      <c r="Q7" s="881">
        <v>0</v>
      </c>
      <c r="R7" s="882">
        <v>0</v>
      </c>
      <c r="S7" s="878"/>
      <c r="T7" s="879"/>
      <c r="U7" s="880">
        <f t="shared" si="3"/>
        <v>0</v>
      </c>
      <c r="AC7" s="511"/>
    </row>
    <row r="8" spans="1:29" s="104" customFormat="1" ht="16.899999999999999" customHeight="1">
      <c r="A8" s="1789"/>
      <c r="B8" s="517" t="s">
        <v>361</v>
      </c>
      <c r="C8" s="881">
        <v>3000</v>
      </c>
      <c r="D8" s="881">
        <v>-3000</v>
      </c>
      <c r="E8" s="876">
        <f>C8+D8</f>
        <v>0</v>
      </c>
      <c r="F8" s="876"/>
      <c r="G8" s="876">
        <f t="shared" si="0"/>
        <v>0</v>
      </c>
      <c r="H8" s="876">
        <v>1444</v>
      </c>
      <c r="I8" s="876">
        <f t="shared" si="1"/>
        <v>1444</v>
      </c>
      <c r="J8" s="876"/>
      <c r="K8" s="876">
        <f>I8+J8</f>
        <v>1444</v>
      </c>
      <c r="L8" s="876"/>
      <c r="M8" s="876">
        <f>K8+L8</f>
        <v>1444</v>
      </c>
      <c r="N8" s="1608">
        <v>1444</v>
      </c>
      <c r="O8" s="1468">
        <f t="shared" si="2"/>
        <v>1</v>
      </c>
      <c r="P8" s="876">
        <f>I8</f>
        <v>1444</v>
      </c>
      <c r="Q8" s="881">
        <v>0</v>
      </c>
      <c r="R8" s="882">
        <v>0</v>
      </c>
      <c r="S8" s="878"/>
      <c r="T8" s="879"/>
      <c r="U8" s="880">
        <f t="shared" si="3"/>
        <v>1444</v>
      </c>
      <c r="AC8" s="511"/>
    </row>
    <row r="9" spans="1:29" s="484" customFormat="1" ht="16.899999999999999" customHeight="1">
      <c r="A9" s="1789"/>
      <c r="B9" s="518" t="s">
        <v>362</v>
      </c>
      <c r="C9" s="883">
        <f t="shared" ref="C9:G9" si="4">SUM(C4:C8)</f>
        <v>87033</v>
      </c>
      <c r="D9" s="883">
        <f t="shared" si="4"/>
        <v>4139</v>
      </c>
      <c r="E9" s="883">
        <f t="shared" si="4"/>
        <v>91172</v>
      </c>
      <c r="F9" s="883">
        <f t="shared" si="4"/>
        <v>23604</v>
      </c>
      <c r="G9" s="883">
        <f t="shared" si="4"/>
        <v>114776</v>
      </c>
      <c r="H9" s="883">
        <f>SUM(H4:H8)</f>
        <v>6139</v>
      </c>
      <c r="I9" s="901">
        <f t="shared" si="1"/>
        <v>120915</v>
      </c>
      <c r="J9" s="901">
        <f>SUM(J4:J8)</f>
        <v>6887</v>
      </c>
      <c r="K9" s="901">
        <f>SUM(K4:K8)</f>
        <v>127802</v>
      </c>
      <c r="L9" s="901">
        <f>SUM(L4:L8)</f>
        <v>6284</v>
      </c>
      <c r="M9" s="901">
        <f>SUM(M4:M8)</f>
        <v>134191</v>
      </c>
      <c r="N9" s="1609">
        <f>SUM(N4:N8)</f>
        <v>132922</v>
      </c>
      <c r="O9" s="1468">
        <f t="shared" si="2"/>
        <v>0.99054333002958472</v>
      </c>
      <c r="P9" s="901">
        <f>M9</f>
        <v>134191</v>
      </c>
      <c r="Q9" s="883">
        <f>SUM(Q4:Q7)</f>
        <v>0</v>
      </c>
      <c r="R9" s="884">
        <f>SUM(R4:R7)</f>
        <v>0</v>
      </c>
      <c r="S9" s="885"/>
      <c r="T9" s="886"/>
      <c r="U9" s="880">
        <f t="shared" si="3"/>
        <v>134191</v>
      </c>
      <c r="AC9" s="511"/>
    </row>
    <row r="10" spans="1:29" s="104" customFormat="1" ht="16.899999999999999" customHeight="1">
      <c r="A10" s="1789"/>
      <c r="B10" s="517" t="s">
        <v>363</v>
      </c>
      <c r="C10" s="881">
        <v>0</v>
      </c>
      <c r="D10" s="881">
        <f>134+96+300+1500</f>
        <v>2030</v>
      </c>
      <c r="E10" s="881">
        <f>C10+D10</f>
        <v>2030</v>
      </c>
      <c r="F10" s="881"/>
      <c r="G10" s="876">
        <f t="shared" si="0"/>
        <v>2030</v>
      </c>
      <c r="H10" s="876">
        <v>1500</v>
      </c>
      <c r="I10" s="876">
        <f t="shared" si="1"/>
        <v>3530</v>
      </c>
      <c r="J10" s="876">
        <f>298+424</f>
        <v>722</v>
      </c>
      <c r="K10" s="876">
        <f>I10+J10</f>
        <v>4252</v>
      </c>
      <c r="L10" s="876">
        <v>200</v>
      </c>
      <c r="M10" s="876">
        <v>4347</v>
      </c>
      <c r="N10" s="1608">
        <v>4346</v>
      </c>
      <c r="O10" s="1468">
        <f t="shared" si="2"/>
        <v>0.99976995629169541</v>
      </c>
      <c r="P10" s="876">
        <v>4452</v>
      </c>
      <c r="Q10" s="881">
        <v>0</v>
      </c>
      <c r="R10" s="882">
        <v>0</v>
      </c>
      <c r="S10" s="878"/>
      <c r="T10" s="879"/>
      <c r="U10" s="880">
        <f t="shared" si="3"/>
        <v>4452</v>
      </c>
      <c r="AC10" s="511"/>
    </row>
    <row r="11" spans="1:29" s="104" customFormat="1" ht="16.899999999999999" customHeight="1">
      <c r="A11" s="1789"/>
      <c r="B11" s="517" t="s">
        <v>54</v>
      </c>
      <c r="C11" s="881">
        <v>0</v>
      </c>
      <c r="D11" s="881">
        <v>1000</v>
      </c>
      <c r="E11" s="881">
        <f>C11+D11</f>
        <v>1000</v>
      </c>
      <c r="F11" s="881"/>
      <c r="G11" s="876">
        <f t="shared" si="0"/>
        <v>1000</v>
      </c>
      <c r="H11" s="876"/>
      <c r="I11" s="876">
        <f t="shared" si="1"/>
        <v>1000</v>
      </c>
      <c r="J11" s="876"/>
      <c r="K11" s="876">
        <f>I11+J11</f>
        <v>1000</v>
      </c>
      <c r="L11" s="876">
        <v>-200</v>
      </c>
      <c r="M11" s="876">
        <f>K11+L11</f>
        <v>800</v>
      </c>
      <c r="N11" s="1608">
        <v>789</v>
      </c>
      <c r="O11" s="1468">
        <f t="shared" si="2"/>
        <v>0.98624999999999996</v>
      </c>
      <c r="P11" s="876">
        <v>800</v>
      </c>
      <c r="Q11" s="881">
        <v>0</v>
      </c>
      <c r="R11" s="882">
        <v>0</v>
      </c>
      <c r="S11" s="878"/>
      <c r="T11" s="879"/>
      <c r="U11" s="880">
        <f t="shared" si="3"/>
        <v>800</v>
      </c>
      <c r="AC11" s="511"/>
    </row>
    <row r="12" spans="1:29" s="104" customFormat="1" ht="16.899999999999999" customHeight="1">
      <c r="A12" s="1789"/>
      <c r="B12" s="517" t="s">
        <v>364</v>
      </c>
      <c r="C12" s="881">
        <v>0</v>
      </c>
      <c r="D12" s="881">
        <v>0</v>
      </c>
      <c r="E12" s="881">
        <f>C12+D12</f>
        <v>0</v>
      </c>
      <c r="F12" s="881"/>
      <c r="G12" s="876">
        <f t="shared" si="0"/>
        <v>0</v>
      </c>
      <c r="H12" s="876"/>
      <c r="I12" s="876">
        <f t="shared" si="1"/>
        <v>0</v>
      </c>
      <c r="J12" s="876"/>
      <c r="K12" s="876">
        <f>I12+J12</f>
        <v>0</v>
      </c>
      <c r="L12" s="876"/>
      <c r="M12" s="876">
        <f>K12+L12</f>
        <v>0</v>
      </c>
      <c r="N12" s="876"/>
      <c r="O12" s="1468"/>
      <c r="P12" s="876">
        <f>K12</f>
        <v>0</v>
      </c>
      <c r="Q12" s="881">
        <v>0</v>
      </c>
      <c r="R12" s="882">
        <v>0</v>
      </c>
      <c r="S12" s="878"/>
      <c r="T12" s="879"/>
      <c r="U12" s="880">
        <f t="shared" si="3"/>
        <v>0</v>
      </c>
      <c r="AC12" s="511"/>
    </row>
    <row r="13" spans="1:29" s="484" customFormat="1" ht="16.899999999999999" customHeight="1">
      <c r="A13" s="1789"/>
      <c r="B13" s="518" t="s">
        <v>365</v>
      </c>
      <c r="C13" s="883">
        <f t="shared" ref="C13:R13" si="5">SUM(C10:C12)</f>
        <v>0</v>
      </c>
      <c r="D13" s="883">
        <f t="shared" si="5"/>
        <v>3030</v>
      </c>
      <c r="E13" s="883">
        <f t="shared" si="5"/>
        <v>3030</v>
      </c>
      <c r="F13" s="883">
        <f t="shared" si="5"/>
        <v>0</v>
      </c>
      <c r="G13" s="883">
        <f t="shared" si="5"/>
        <v>3030</v>
      </c>
      <c r="H13" s="883">
        <f>SUM(H10:H12)</f>
        <v>1500</v>
      </c>
      <c r="I13" s="901">
        <f t="shared" si="1"/>
        <v>4530</v>
      </c>
      <c r="J13" s="901">
        <f>SUM(J10:J12)</f>
        <v>722</v>
      </c>
      <c r="K13" s="901">
        <f>SUM(K10:K12)</f>
        <v>5252</v>
      </c>
      <c r="L13" s="901">
        <f>SUM(L10:L12)</f>
        <v>0</v>
      </c>
      <c r="M13" s="901">
        <f>SUM(M10:M12)</f>
        <v>5147</v>
      </c>
      <c r="N13" s="1609">
        <f>SUM(N10:N12)</f>
        <v>5135</v>
      </c>
      <c r="O13" s="1468">
        <f t="shared" si="2"/>
        <v>0.99766854478336897</v>
      </c>
      <c r="P13" s="901">
        <f>K13</f>
        <v>5252</v>
      </c>
      <c r="Q13" s="883">
        <f t="shared" si="5"/>
        <v>0</v>
      </c>
      <c r="R13" s="884">
        <f t="shared" si="5"/>
        <v>0</v>
      </c>
      <c r="S13" s="885"/>
      <c r="T13" s="886"/>
      <c r="U13" s="880">
        <f t="shared" si="3"/>
        <v>5252</v>
      </c>
      <c r="AC13" s="511"/>
    </row>
    <row r="14" spans="1:29" s="104" customFormat="1" ht="16.899999999999999" customHeight="1" thickBot="1">
      <c r="A14" s="1789"/>
      <c r="B14" s="658" t="s">
        <v>138</v>
      </c>
      <c r="C14" s="887"/>
      <c r="D14" s="887">
        <v>0</v>
      </c>
      <c r="E14" s="887">
        <f>C14+D14</f>
        <v>0</v>
      </c>
      <c r="F14" s="887"/>
      <c r="G14" s="1290">
        <f t="shared" si="0"/>
        <v>0</v>
      </c>
      <c r="H14" s="1290"/>
      <c r="I14" s="1290">
        <f t="shared" si="1"/>
        <v>0</v>
      </c>
      <c r="J14" s="1290"/>
      <c r="K14" s="1290">
        <f>I14+J14</f>
        <v>0</v>
      </c>
      <c r="L14" s="1290"/>
      <c r="M14" s="1290">
        <f>K14+L14</f>
        <v>0</v>
      </c>
      <c r="N14" s="1290"/>
      <c r="O14" s="1472"/>
      <c r="P14" s="1290">
        <f>K14</f>
        <v>0</v>
      </c>
      <c r="Q14" s="888"/>
      <c r="R14" s="889"/>
      <c r="S14" s="878"/>
      <c r="T14" s="879"/>
      <c r="U14" s="880">
        <f t="shared" si="3"/>
        <v>0</v>
      </c>
      <c r="AC14" s="512"/>
    </row>
    <row r="15" spans="1:29" s="484" customFormat="1" ht="16.899999999999999" customHeight="1" thickBot="1">
      <c r="A15" s="1790"/>
      <c r="B15" s="1474" t="s">
        <v>133</v>
      </c>
      <c r="C15" s="1475">
        <f t="shared" ref="C15:R15" si="6">C9+C13+C14</f>
        <v>87033</v>
      </c>
      <c r="D15" s="1475">
        <f t="shared" si="6"/>
        <v>7169</v>
      </c>
      <c r="E15" s="1475">
        <f t="shared" si="6"/>
        <v>94202</v>
      </c>
      <c r="F15" s="1475">
        <f t="shared" si="6"/>
        <v>23604</v>
      </c>
      <c r="G15" s="1475">
        <f t="shared" si="6"/>
        <v>117806</v>
      </c>
      <c r="H15" s="1475">
        <f>H9+H13+H14</f>
        <v>7639</v>
      </c>
      <c r="I15" s="1475">
        <f t="shared" si="1"/>
        <v>125445</v>
      </c>
      <c r="J15" s="1475">
        <f>J9+J13+J14</f>
        <v>7609</v>
      </c>
      <c r="K15" s="1475">
        <f>K9+K13+K14</f>
        <v>133054</v>
      </c>
      <c r="L15" s="1475">
        <f>L9+L13+L14</f>
        <v>6284</v>
      </c>
      <c r="M15" s="1475">
        <f>M9+M13+M14</f>
        <v>139338</v>
      </c>
      <c r="N15" s="1621">
        <f>N9+N13+N14</f>
        <v>138057</v>
      </c>
      <c r="O15" s="1473">
        <f t="shared" si="2"/>
        <v>0.99080652801102354</v>
      </c>
      <c r="P15" s="1475">
        <f>M15</f>
        <v>139338</v>
      </c>
      <c r="Q15" s="1475">
        <f t="shared" si="6"/>
        <v>0</v>
      </c>
      <c r="R15" s="1477">
        <f t="shared" si="6"/>
        <v>0</v>
      </c>
      <c r="S15" s="885"/>
      <c r="T15" s="886"/>
      <c r="U15" s="880">
        <f t="shared" si="3"/>
        <v>139338</v>
      </c>
      <c r="AC15" s="511"/>
    </row>
    <row r="16" spans="1:29" s="509" customFormat="1" ht="24" customHeight="1" thickBot="1">
      <c r="A16" s="660" t="s">
        <v>219</v>
      </c>
      <c r="B16" s="1811" t="s">
        <v>481</v>
      </c>
      <c r="C16" s="1812"/>
      <c r="D16" s="1812"/>
      <c r="E16" s="1812"/>
      <c r="F16" s="1812"/>
      <c r="G16" s="1812"/>
      <c r="H16" s="1812"/>
      <c r="I16" s="1812"/>
      <c r="J16" s="1812"/>
      <c r="K16" s="1812"/>
      <c r="L16" s="1812"/>
      <c r="M16" s="1812"/>
      <c r="N16" s="1812"/>
      <c r="O16" s="1812"/>
      <c r="P16" s="1812"/>
      <c r="Q16" s="1812"/>
      <c r="R16" s="1813"/>
      <c r="S16" s="653"/>
      <c r="T16" s="661"/>
      <c r="U16" s="657"/>
    </row>
    <row r="17" spans="1:29" s="104" customFormat="1" ht="16.899999999999999" customHeight="1">
      <c r="A17" s="1788"/>
      <c r="B17" s="516" t="s">
        <v>40</v>
      </c>
      <c r="C17" s="876">
        <v>141090</v>
      </c>
      <c r="D17" s="876">
        <f>1930+3219+520</f>
        <v>5669</v>
      </c>
      <c r="E17" s="876">
        <f>C17+D17</f>
        <v>146759</v>
      </c>
      <c r="F17" s="876">
        <f>1122+1780+1739</f>
        <v>4641</v>
      </c>
      <c r="G17" s="876">
        <f>E17+F17</f>
        <v>151400</v>
      </c>
      <c r="H17" s="876">
        <f>1677+735+1377</f>
        <v>3789</v>
      </c>
      <c r="I17" s="876">
        <f t="shared" ref="I17:I28" si="7">G17+H17</f>
        <v>155189</v>
      </c>
      <c r="J17" s="876">
        <f>950+372</f>
        <v>1322</v>
      </c>
      <c r="K17" s="876">
        <f>I17+J17</f>
        <v>156511</v>
      </c>
      <c r="L17" s="876">
        <f>411+353+2635</f>
        <v>3399</v>
      </c>
      <c r="M17" s="876">
        <f>K17+L17</f>
        <v>159910</v>
      </c>
      <c r="N17" s="1608">
        <v>156039</v>
      </c>
      <c r="O17" s="1468">
        <f>N17/M17</f>
        <v>0.97579263335626287</v>
      </c>
      <c r="P17" s="876">
        <v>159910</v>
      </c>
      <c r="Q17" s="876">
        <v>0</v>
      </c>
      <c r="R17" s="877">
        <v>0</v>
      </c>
      <c r="S17" s="878"/>
      <c r="T17" s="892"/>
      <c r="U17" s="880">
        <f t="shared" si="3"/>
        <v>159910</v>
      </c>
    </row>
    <row r="18" spans="1:29" s="104" customFormat="1" ht="31.5" customHeight="1">
      <c r="A18" s="1789"/>
      <c r="B18" s="517" t="s">
        <v>303</v>
      </c>
      <c r="C18" s="881">
        <v>38880</v>
      </c>
      <c r="D18" s="881">
        <f>521+869+69</f>
        <v>1459</v>
      </c>
      <c r="E18" s="876">
        <f>C18+D18</f>
        <v>40339</v>
      </c>
      <c r="F18" s="876">
        <f>303+242+469</f>
        <v>1014</v>
      </c>
      <c r="G18" s="876">
        <f t="shared" ref="G18:G27" si="8">E18+F18</f>
        <v>41353</v>
      </c>
      <c r="H18" s="876">
        <f>226+199+372</f>
        <v>797</v>
      </c>
      <c r="I18" s="876">
        <f t="shared" si="7"/>
        <v>42150</v>
      </c>
      <c r="J18" s="876">
        <f>120+100</f>
        <v>220</v>
      </c>
      <c r="K18" s="876">
        <f>I18+J18</f>
        <v>42370</v>
      </c>
      <c r="L18" s="876">
        <f>111+95</f>
        <v>206</v>
      </c>
      <c r="M18" s="876">
        <f>K18+L18</f>
        <v>42576</v>
      </c>
      <c r="N18" s="1608">
        <v>40262</v>
      </c>
      <c r="O18" s="1468">
        <f t="shared" ref="O18:O28" si="9">N18/M18</f>
        <v>0.94565013152950017</v>
      </c>
      <c r="P18" s="876">
        <v>42576</v>
      </c>
      <c r="Q18" s="881">
        <v>0</v>
      </c>
      <c r="R18" s="882">
        <v>0</v>
      </c>
      <c r="S18" s="878"/>
      <c r="T18" s="892"/>
      <c r="U18" s="880">
        <f t="shared" si="3"/>
        <v>42576</v>
      </c>
    </row>
    <row r="19" spans="1:29" s="104" customFormat="1" ht="16.899999999999999" customHeight="1">
      <c r="A19" s="1789"/>
      <c r="B19" s="517" t="s">
        <v>132</v>
      </c>
      <c r="C19" s="881">
        <v>58350</v>
      </c>
      <c r="D19" s="881">
        <v>1600</v>
      </c>
      <c r="E19" s="876">
        <f>C19+D19</f>
        <v>59950</v>
      </c>
      <c r="F19" s="876">
        <v>2667</v>
      </c>
      <c r="G19" s="876">
        <f t="shared" si="8"/>
        <v>62617</v>
      </c>
      <c r="H19" s="876">
        <v>5013</v>
      </c>
      <c r="I19" s="876">
        <f t="shared" si="7"/>
        <v>67630</v>
      </c>
      <c r="J19" s="876">
        <v>-858</v>
      </c>
      <c r="K19" s="876">
        <f>I19+J19</f>
        <v>66772</v>
      </c>
      <c r="L19" s="876"/>
      <c r="M19" s="876">
        <f>K19+L19</f>
        <v>66772</v>
      </c>
      <c r="N19" s="1608">
        <v>62591</v>
      </c>
      <c r="O19" s="1468">
        <f t="shared" si="9"/>
        <v>0.93738393338525128</v>
      </c>
      <c r="P19" s="876">
        <f t="shared" ref="P19:P27" si="10">K19</f>
        <v>66772</v>
      </c>
      <c r="Q19" s="881">
        <v>0</v>
      </c>
      <c r="R19" s="882">
        <v>0</v>
      </c>
      <c r="S19" s="878"/>
      <c r="T19" s="892"/>
      <c r="U19" s="880">
        <f t="shared" si="3"/>
        <v>66772</v>
      </c>
    </row>
    <row r="20" spans="1:29" s="104" customFormat="1" ht="16.899999999999999" customHeight="1">
      <c r="A20" s="1789"/>
      <c r="B20" s="517" t="s">
        <v>42</v>
      </c>
      <c r="C20" s="881">
        <v>0</v>
      </c>
      <c r="D20" s="881"/>
      <c r="E20" s="876">
        <f>C20+D20</f>
        <v>0</v>
      </c>
      <c r="F20" s="876"/>
      <c r="G20" s="876">
        <f t="shared" si="8"/>
        <v>0</v>
      </c>
      <c r="H20" s="876"/>
      <c r="I20" s="876">
        <f t="shared" si="7"/>
        <v>0</v>
      </c>
      <c r="J20" s="876"/>
      <c r="K20" s="876">
        <f>I20+J20</f>
        <v>0</v>
      </c>
      <c r="L20" s="876"/>
      <c r="M20" s="876">
        <f>K20+L20</f>
        <v>0</v>
      </c>
      <c r="N20" s="1608"/>
      <c r="O20" s="1468"/>
      <c r="P20" s="876">
        <f t="shared" si="10"/>
        <v>0</v>
      </c>
      <c r="Q20" s="881">
        <v>0</v>
      </c>
      <c r="R20" s="882">
        <v>0</v>
      </c>
      <c r="S20" s="878"/>
      <c r="T20" s="892"/>
      <c r="U20" s="880">
        <f t="shared" si="3"/>
        <v>0</v>
      </c>
    </row>
    <row r="21" spans="1:29" s="104" customFormat="1" ht="16.899999999999999" customHeight="1">
      <c r="A21" s="1789"/>
      <c r="B21" s="517" t="s">
        <v>361</v>
      </c>
      <c r="C21" s="881">
        <v>7000</v>
      </c>
      <c r="D21" s="881">
        <v>-7000</v>
      </c>
      <c r="E21" s="876">
        <f>C21+D21</f>
        <v>0</v>
      </c>
      <c r="F21" s="876"/>
      <c r="G21" s="876">
        <f t="shared" si="8"/>
        <v>0</v>
      </c>
      <c r="H21" s="876"/>
      <c r="I21" s="876">
        <f t="shared" si="7"/>
        <v>0</v>
      </c>
      <c r="J21" s="876"/>
      <c r="K21" s="876">
        <f>I21+J21</f>
        <v>0</v>
      </c>
      <c r="L21" s="876"/>
      <c r="M21" s="876">
        <f>K21+L21</f>
        <v>0</v>
      </c>
      <c r="N21" s="1608"/>
      <c r="O21" s="1468"/>
      <c r="P21" s="876">
        <f t="shared" si="10"/>
        <v>0</v>
      </c>
      <c r="Q21" s="881">
        <v>0</v>
      </c>
      <c r="R21" s="882">
        <v>0</v>
      </c>
      <c r="S21" s="878"/>
      <c r="T21" s="892"/>
      <c r="U21" s="880">
        <f t="shared" si="3"/>
        <v>0</v>
      </c>
    </row>
    <row r="22" spans="1:29" s="484" customFormat="1" ht="16.899999999999999" customHeight="1">
      <c r="A22" s="1789"/>
      <c r="B22" s="518" t="s">
        <v>362</v>
      </c>
      <c r="C22" s="883">
        <f t="shared" ref="C22:Q22" si="11">SUM(C17:C21)</f>
        <v>245320</v>
      </c>
      <c r="D22" s="883">
        <f t="shared" si="11"/>
        <v>1728</v>
      </c>
      <c r="E22" s="883">
        <f t="shared" si="11"/>
        <v>247048</v>
      </c>
      <c r="F22" s="883">
        <f t="shared" si="11"/>
        <v>8322</v>
      </c>
      <c r="G22" s="883">
        <f t="shared" si="11"/>
        <v>255370</v>
      </c>
      <c r="H22" s="883">
        <f>SUM(H17:H21)</f>
        <v>9599</v>
      </c>
      <c r="I22" s="901">
        <f t="shared" si="7"/>
        <v>264969</v>
      </c>
      <c r="J22" s="901">
        <f>SUM(J17:J21)</f>
        <v>684</v>
      </c>
      <c r="K22" s="901">
        <f>SUM(K17:K21)</f>
        <v>265653</v>
      </c>
      <c r="L22" s="901">
        <f>SUM(L17:L21)</f>
        <v>3605</v>
      </c>
      <c r="M22" s="901">
        <f>SUM(M17:M21)</f>
        <v>269258</v>
      </c>
      <c r="N22" s="1609">
        <f>SUM(N17:N21)</f>
        <v>258892</v>
      </c>
      <c r="O22" s="1468">
        <f t="shared" si="9"/>
        <v>0.96150160812306418</v>
      </c>
      <c r="P22" s="901">
        <f>SUM(P17:P21)</f>
        <v>269258</v>
      </c>
      <c r="Q22" s="883">
        <f t="shared" si="11"/>
        <v>0</v>
      </c>
      <c r="R22" s="884">
        <f>SUM(R17:R20)</f>
        <v>0</v>
      </c>
      <c r="S22" s="885"/>
      <c r="T22" s="893"/>
      <c r="U22" s="880">
        <f t="shared" si="3"/>
        <v>269258</v>
      </c>
    </row>
    <row r="23" spans="1:29" s="104" customFormat="1" ht="16.899999999999999" customHeight="1">
      <c r="A23" s="1789"/>
      <c r="B23" s="517" t="s">
        <v>363</v>
      </c>
      <c r="C23" s="881">
        <v>0</v>
      </c>
      <c r="D23" s="881">
        <f>921+456</f>
        <v>1377</v>
      </c>
      <c r="E23" s="881">
        <f>C23+D23</f>
        <v>1377</v>
      </c>
      <c r="F23" s="881"/>
      <c r="G23" s="876">
        <f t="shared" si="8"/>
        <v>1377</v>
      </c>
      <c r="H23" s="876"/>
      <c r="I23" s="876">
        <f t="shared" si="7"/>
        <v>1377</v>
      </c>
      <c r="J23" s="876">
        <v>858</v>
      </c>
      <c r="K23" s="876">
        <f>I23+J23</f>
        <v>2235</v>
      </c>
      <c r="L23" s="876">
        <v>384</v>
      </c>
      <c r="M23" s="876">
        <f>K23+L23</f>
        <v>2619</v>
      </c>
      <c r="N23" s="1608">
        <v>2436</v>
      </c>
      <c r="O23" s="1468">
        <f t="shared" si="9"/>
        <v>0.93012600229095077</v>
      </c>
      <c r="P23" s="876">
        <v>2619</v>
      </c>
      <c r="Q23" s="881">
        <v>0</v>
      </c>
      <c r="R23" s="882">
        <v>0</v>
      </c>
      <c r="S23" s="878"/>
      <c r="T23" s="892"/>
      <c r="U23" s="880">
        <f t="shared" si="3"/>
        <v>2619</v>
      </c>
    </row>
    <row r="24" spans="1:29" s="104" customFormat="1" ht="16.899999999999999" customHeight="1">
      <c r="A24" s="1789"/>
      <c r="B24" s="517" t="s">
        <v>54</v>
      </c>
      <c r="C24" s="881">
        <v>0</v>
      </c>
      <c r="D24" s="881">
        <v>8460</v>
      </c>
      <c r="E24" s="881">
        <f>C24+D24</f>
        <v>8460</v>
      </c>
      <c r="F24" s="881"/>
      <c r="G24" s="876">
        <f t="shared" si="8"/>
        <v>8460</v>
      </c>
      <c r="H24" s="876"/>
      <c r="I24" s="876">
        <f t="shared" si="7"/>
        <v>8460</v>
      </c>
      <c r="J24" s="876"/>
      <c r="K24" s="876">
        <f>I24+J24</f>
        <v>8460</v>
      </c>
      <c r="L24" s="876"/>
      <c r="M24" s="876">
        <f>K24+L24</f>
        <v>8460</v>
      </c>
      <c r="N24" s="1608">
        <v>7821</v>
      </c>
      <c r="O24" s="1468">
        <f t="shared" si="9"/>
        <v>0.92446808510638301</v>
      </c>
      <c r="P24" s="876">
        <f t="shared" si="10"/>
        <v>8460</v>
      </c>
      <c r="Q24" s="881">
        <v>0</v>
      </c>
      <c r="R24" s="882">
        <v>0</v>
      </c>
      <c r="S24" s="878"/>
      <c r="T24" s="892"/>
      <c r="U24" s="880">
        <f t="shared" si="3"/>
        <v>8460</v>
      </c>
    </row>
    <row r="25" spans="1:29" s="104" customFormat="1" ht="16.899999999999999" customHeight="1">
      <c r="A25" s="1789"/>
      <c r="B25" s="517" t="s">
        <v>364</v>
      </c>
      <c r="C25" s="881">
        <v>0</v>
      </c>
      <c r="D25" s="881"/>
      <c r="E25" s="881">
        <f>C25+D25</f>
        <v>0</v>
      </c>
      <c r="F25" s="881"/>
      <c r="G25" s="876">
        <f t="shared" si="8"/>
        <v>0</v>
      </c>
      <c r="H25" s="876"/>
      <c r="I25" s="876">
        <f t="shared" si="7"/>
        <v>0</v>
      </c>
      <c r="J25" s="876"/>
      <c r="K25" s="876">
        <f>I25+J25</f>
        <v>0</v>
      </c>
      <c r="L25" s="876"/>
      <c r="M25" s="876">
        <f>K25+L25</f>
        <v>0</v>
      </c>
      <c r="N25" s="1608"/>
      <c r="O25" s="1468"/>
      <c r="P25" s="876">
        <f t="shared" si="10"/>
        <v>0</v>
      </c>
      <c r="Q25" s="881">
        <v>0</v>
      </c>
      <c r="R25" s="882">
        <v>0</v>
      </c>
      <c r="S25" s="878"/>
      <c r="T25" s="892"/>
      <c r="U25" s="880">
        <f t="shared" si="3"/>
        <v>0</v>
      </c>
    </row>
    <row r="26" spans="1:29" s="484" customFormat="1" ht="16.899999999999999" customHeight="1">
      <c r="A26" s="1789"/>
      <c r="B26" s="518" t="s">
        <v>365</v>
      </c>
      <c r="C26" s="883">
        <f t="shared" ref="C26:R26" si="12">SUM(C23:C25)</f>
        <v>0</v>
      </c>
      <c r="D26" s="883">
        <f t="shared" si="12"/>
        <v>9837</v>
      </c>
      <c r="E26" s="883">
        <f t="shared" si="12"/>
        <v>9837</v>
      </c>
      <c r="F26" s="883">
        <f t="shared" si="12"/>
        <v>0</v>
      </c>
      <c r="G26" s="883">
        <f t="shared" si="12"/>
        <v>9837</v>
      </c>
      <c r="H26" s="883">
        <f>SUM(H23:H25)</f>
        <v>0</v>
      </c>
      <c r="I26" s="901">
        <f t="shared" si="7"/>
        <v>9837</v>
      </c>
      <c r="J26" s="901">
        <f>SUM(J23:J25)</f>
        <v>858</v>
      </c>
      <c r="K26" s="901">
        <f>SUM(K23:K25)</f>
        <v>10695</v>
      </c>
      <c r="L26" s="901">
        <f>SUM(L23:L25)</f>
        <v>384</v>
      </c>
      <c r="M26" s="901">
        <f>SUM(M23:M25)</f>
        <v>11079</v>
      </c>
      <c r="N26" s="1609">
        <f>SUM(N23:N25)</f>
        <v>10257</v>
      </c>
      <c r="O26" s="1468">
        <f t="shared" si="9"/>
        <v>0.92580557812076902</v>
      </c>
      <c r="P26" s="901">
        <f>M26</f>
        <v>11079</v>
      </c>
      <c r="Q26" s="883">
        <f t="shared" si="12"/>
        <v>0</v>
      </c>
      <c r="R26" s="884">
        <f t="shared" si="12"/>
        <v>0</v>
      </c>
      <c r="S26" s="885"/>
      <c r="T26" s="893"/>
      <c r="U26" s="880">
        <f t="shared" si="3"/>
        <v>11079</v>
      </c>
    </row>
    <row r="27" spans="1:29" s="104" customFormat="1" ht="16.899999999999999" customHeight="1" thickBot="1">
      <c r="A27" s="1789"/>
      <c r="B27" s="658" t="s">
        <v>138</v>
      </c>
      <c r="C27" s="887"/>
      <c r="D27" s="887"/>
      <c r="E27" s="887">
        <f>C27+D27</f>
        <v>0</v>
      </c>
      <c r="F27" s="887"/>
      <c r="G27" s="1290">
        <f t="shared" si="8"/>
        <v>0</v>
      </c>
      <c r="H27" s="1290"/>
      <c r="I27" s="1290">
        <f t="shared" si="7"/>
        <v>0</v>
      </c>
      <c r="J27" s="1290"/>
      <c r="K27" s="1290">
        <f>I27+J27</f>
        <v>0</v>
      </c>
      <c r="L27" s="1290"/>
      <c r="M27" s="1290">
        <f>K27+L27</f>
        <v>0</v>
      </c>
      <c r="N27" s="1611"/>
      <c r="O27" s="1472"/>
      <c r="P27" s="1290">
        <f t="shared" si="10"/>
        <v>0</v>
      </c>
      <c r="Q27" s="888"/>
      <c r="R27" s="889"/>
      <c r="S27" s="878"/>
      <c r="T27" s="892"/>
      <c r="U27" s="880">
        <f t="shared" si="3"/>
        <v>0</v>
      </c>
    </row>
    <row r="28" spans="1:29" s="484" customFormat="1" ht="16.899999999999999" customHeight="1" thickBot="1">
      <c r="A28" s="1790"/>
      <c r="B28" s="659" t="s">
        <v>133</v>
      </c>
      <c r="C28" s="890">
        <f t="shared" ref="C28:R28" si="13">C22+C26+C27</f>
        <v>245320</v>
      </c>
      <c r="D28" s="890">
        <f t="shared" si="13"/>
        <v>11565</v>
      </c>
      <c r="E28" s="890">
        <f t="shared" si="13"/>
        <v>256885</v>
      </c>
      <c r="F28" s="890">
        <f t="shared" si="13"/>
        <v>8322</v>
      </c>
      <c r="G28" s="890">
        <f t="shared" si="13"/>
        <v>265207</v>
      </c>
      <c r="H28" s="890">
        <f>H22+H26+H27</f>
        <v>9599</v>
      </c>
      <c r="I28" s="890">
        <f t="shared" si="7"/>
        <v>274806</v>
      </c>
      <c r="J28" s="890">
        <f>J22+J26+J27</f>
        <v>1542</v>
      </c>
      <c r="K28" s="890">
        <f>K22+K26+K27</f>
        <v>276348</v>
      </c>
      <c r="L28" s="890">
        <f>L22+L26+L27</f>
        <v>3989</v>
      </c>
      <c r="M28" s="890">
        <f>M22+M26+M27</f>
        <v>280337</v>
      </c>
      <c r="N28" s="1622">
        <f>N22+N26+N27</f>
        <v>269149</v>
      </c>
      <c r="O28" s="1473">
        <f t="shared" si="9"/>
        <v>0.96009089060666275</v>
      </c>
      <c r="P28" s="890">
        <f>SUM(P22,P26,P27)</f>
        <v>280337</v>
      </c>
      <c r="Q28" s="890">
        <f t="shared" si="13"/>
        <v>0</v>
      </c>
      <c r="R28" s="891">
        <f t="shared" si="13"/>
        <v>0</v>
      </c>
      <c r="S28" s="885"/>
      <c r="T28" s="893"/>
      <c r="U28" s="1299">
        <f t="shared" si="3"/>
        <v>280337</v>
      </c>
    </row>
    <row r="29" spans="1:29" s="509" customFormat="1" ht="24" customHeight="1" thickBot="1">
      <c r="A29" s="660" t="s">
        <v>257</v>
      </c>
      <c r="B29" s="662" t="s">
        <v>478</v>
      </c>
      <c r="C29" s="1815"/>
      <c r="D29" s="1816"/>
      <c r="E29" s="1816"/>
      <c r="F29" s="1816"/>
      <c r="G29" s="1816"/>
      <c r="H29" s="1816"/>
      <c r="I29" s="1816"/>
      <c r="J29" s="1816"/>
      <c r="K29" s="1816"/>
      <c r="L29" s="1816"/>
      <c r="M29" s="1816"/>
      <c r="N29" s="1816"/>
      <c r="O29" s="1816"/>
      <c r="P29" s="1817"/>
      <c r="Q29" s="1817"/>
      <c r="R29" s="1818"/>
      <c r="S29" s="653"/>
      <c r="T29" s="654"/>
      <c r="U29" s="657"/>
      <c r="AC29" s="510"/>
    </row>
    <row r="30" spans="1:29" s="485" customFormat="1" ht="16.899999999999999" customHeight="1">
      <c r="A30" s="1791"/>
      <c r="B30" s="1463" t="s">
        <v>40</v>
      </c>
      <c r="C30" s="876">
        <v>89700</v>
      </c>
      <c r="D30" s="876">
        <v>426</v>
      </c>
      <c r="E30" s="876">
        <f>C30+D30</f>
        <v>90126</v>
      </c>
      <c r="F30" s="876">
        <v>227</v>
      </c>
      <c r="G30" s="876">
        <f>E30+F30</f>
        <v>90353</v>
      </c>
      <c r="H30" s="876">
        <v>118</v>
      </c>
      <c r="I30" s="876">
        <f t="shared" ref="I30:I41" si="14">G30+H30</f>
        <v>90471</v>
      </c>
      <c r="J30" s="876">
        <f>232+68</f>
        <v>300</v>
      </c>
      <c r="K30" s="876">
        <f>I30+J30</f>
        <v>90771</v>
      </c>
      <c r="L30" s="876">
        <f>68+406</f>
        <v>474</v>
      </c>
      <c r="M30" s="876">
        <f>K30+L30</f>
        <v>91245</v>
      </c>
      <c r="N30" s="1608">
        <v>89699</v>
      </c>
      <c r="O30" s="1468">
        <f>N30/M30</f>
        <v>0.98305660584141596</v>
      </c>
      <c r="P30" s="876">
        <v>91245</v>
      </c>
      <c r="Q30" s="876">
        <v>0</v>
      </c>
      <c r="R30" s="877">
        <v>0</v>
      </c>
      <c r="S30" s="894"/>
      <c r="T30" s="895"/>
      <c r="U30" s="880">
        <f t="shared" si="3"/>
        <v>91245</v>
      </c>
      <c r="AC30" s="513"/>
    </row>
    <row r="31" spans="1:29" s="485" customFormat="1" ht="30.95" customHeight="1">
      <c r="A31" s="1792"/>
      <c r="B31" s="1464" t="s">
        <v>303</v>
      </c>
      <c r="C31" s="881">
        <v>25331</v>
      </c>
      <c r="D31" s="881">
        <v>115</v>
      </c>
      <c r="E31" s="876">
        <f>C31+D31</f>
        <v>25446</v>
      </c>
      <c r="F31" s="876">
        <v>61</v>
      </c>
      <c r="G31" s="876">
        <f t="shared" ref="G31:G40" si="15">E31+F31</f>
        <v>25507</v>
      </c>
      <c r="H31" s="876">
        <v>32</v>
      </c>
      <c r="I31" s="876">
        <f t="shared" si="14"/>
        <v>25539</v>
      </c>
      <c r="J31" s="876">
        <f>31+19</f>
        <v>50</v>
      </c>
      <c r="K31" s="876">
        <f>I31+J31</f>
        <v>25589</v>
      </c>
      <c r="L31" s="876">
        <f>18+53</f>
        <v>71</v>
      </c>
      <c r="M31" s="876">
        <f>K31+L31</f>
        <v>25660</v>
      </c>
      <c r="N31" s="1608">
        <v>24795</v>
      </c>
      <c r="O31" s="1468">
        <f t="shared" ref="O31:O41" si="16">N31/M31</f>
        <v>0.96628994544037417</v>
      </c>
      <c r="P31" s="876">
        <v>25660</v>
      </c>
      <c r="Q31" s="881">
        <v>0</v>
      </c>
      <c r="R31" s="882">
        <v>0</v>
      </c>
      <c r="S31" s="894"/>
      <c r="T31" s="895"/>
      <c r="U31" s="880">
        <f t="shared" si="3"/>
        <v>25660</v>
      </c>
      <c r="AC31" s="513"/>
    </row>
    <row r="32" spans="1:29" s="485" customFormat="1" ht="16.899999999999999" customHeight="1">
      <c r="A32" s="1792"/>
      <c r="B32" s="1464" t="s">
        <v>132</v>
      </c>
      <c r="C32" s="881">
        <v>11135</v>
      </c>
      <c r="D32" s="881">
        <f>529+29</f>
        <v>558</v>
      </c>
      <c r="E32" s="876">
        <f>C32+D32</f>
        <v>11693</v>
      </c>
      <c r="F32" s="876"/>
      <c r="G32" s="876">
        <f t="shared" si="15"/>
        <v>11693</v>
      </c>
      <c r="H32" s="876"/>
      <c r="I32" s="876">
        <f t="shared" si="14"/>
        <v>11693</v>
      </c>
      <c r="J32" s="876">
        <v>-26</v>
      </c>
      <c r="K32" s="876">
        <f>I32+J32</f>
        <v>11667</v>
      </c>
      <c r="L32" s="876">
        <f>13-1042</f>
        <v>-1029</v>
      </c>
      <c r="M32" s="876">
        <f>K32+L32</f>
        <v>10638</v>
      </c>
      <c r="N32" s="1608">
        <v>10250</v>
      </c>
      <c r="O32" s="1468">
        <f t="shared" si="16"/>
        <v>0.96352697875540516</v>
      </c>
      <c r="P32" s="876">
        <v>10638</v>
      </c>
      <c r="Q32" s="881">
        <v>0</v>
      </c>
      <c r="R32" s="882">
        <v>0</v>
      </c>
      <c r="S32" s="894"/>
      <c r="T32" s="895"/>
      <c r="U32" s="880">
        <f t="shared" si="3"/>
        <v>10638</v>
      </c>
      <c r="AC32" s="513"/>
    </row>
    <row r="33" spans="1:29" s="485" customFormat="1" ht="16.899999999999999" customHeight="1">
      <c r="A33" s="1792"/>
      <c r="B33" s="1464" t="s">
        <v>42</v>
      </c>
      <c r="C33" s="881">
        <v>0</v>
      </c>
      <c r="D33" s="881"/>
      <c r="E33" s="876">
        <f>C33+D33</f>
        <v>0</v>
      </c>
      <c r="F33" s="876"/>
      <c r="G33" s="876">
        <f t="shared" si="15"/>
        <v>0</v>
      </c>
      <c r="H33" s="876"/>
      <c r="I33" s="876">
        <f t="shared" si="14"/>
        <v>0</v>
      </c>
      <c r="J33" s="876"/>
      <c r="K33" s="876">
        <f>I33+J33</f>
        <v>0</v>
      </c>
      <c r="L33" s="876"/>
      <c r="M33" s="876">
        <f>K33+L33</f>
        <v>0</v>
      </c>
      <c r="N33" s="876"/>
      <c r="O33" s="1468"/>
      <c r="P33" s="876">
        <f t="shared" ref="P33:P40" si="17">K33</f>
        <v>0</v>
      </c>
      <c r="Q33" s="881">
        <v>0</v>
      </c>
      <c r="R33" s="882">
        <v>0</v>
      </c>
      <c r="S33" s="894"/>
      <c r="T33" s="895"/>
      <c r="U33" s="880">
        <f t="shared" si="3"/>
        <v>0</v>
      </c>
      <c r="AC33" s="513"/>
    </row>
    <row r="34" spans="1:29" s="485" customFormat="1" ht="16.899999999999999" customHeight="1">
      <c r="A34" s="1792"/>
      <c r="B34" s="1464" t="s">
        <v>361</v>
      </c>
      <c r="C34" s="881">
        <v>900</v>
      </c>
      <c r="D34" s="881">
        <v>-900</v>
      </c>
      <c r="E34" s="876">
        <f>C34+D34</f>
        <v>0</v>
      </c>
      <c r="F34" s="876"/>
      <c r="G34" s="876">
        <f t="shared" si="15"/>
        <v>0</v>
      </c>
      <c r="H34" s="876"/>
      <c r="I34" s="876">
        <f t="shared" si="14"/>
        <v>0</v>
      </c>
      <c r="J34" s="876"/>
      <c r="K34" s="876">
        <f>I34+J34</f>
        <v>0</v>
      </c>
      <c r="L34" s="876"/>
      <c r="M34" s="876">
        <f>K34+L34</f>
        <v>0</v>
      </c>
      <c r="N34" s="876"/>
      <c r="O34" s="1468"/>
      <c r="P34" s="876">
        <f t="shared" si="17"/>
        <v>0</v>
      </c>
      <c r="Q34" s="881">
        <v>0</v>
      </c>
      <c r="R34" s="882">
        <v>0</v>
      </c>
      <c r="S34" s="894"/>
      <c r="T34" s="895"/>
      <c r="U34" s="880">
        <f t="shared" si="3"/>
        <v>0</v>
      </c>
      <c r="AC34" s="513"/>
    </row>
    <row r="35" spans="1:29" s="486" customFormat="1" ht="16.899999999999999" customHeight="1">
      <c r="A35" s="1792"/>
      <c r="B35" s="1465" t="s">
        <v>362</v>
      </c>
      <c r="C35" s="883">
        <f t="shared" ref="C35:R35" si="18">SUM(C30:C34)</f>
        <v>127066</v>
      </c>
      <c r="D35" s="883">
        <f t="shared" si="18"/>
        <v>199</v>
      </c>
      <c r="E35" s="883">
        <f t="shared" si="18"/>
        <v>127265</v>
      </c>
      <c r="F35" s="883">
        <f t="shared" si="18"/>
        <v>288</v>
      </c>
      <c r="G35" s="883">
        <f t="shared" si="18"/>
        <v>127553</v>
      </c>
      <c r="H35" s="883">
        <f>SUM(H30:H34)</f>
        <v>150</v>
      </c>
      <c r="I35" s="901">
        <f t="shared" si="14"/>
        <v>127703</v>
      </c>
      <c r="J35" s="901">
        <f>SUM(J30:J34)</f>
        <v>324</v>
      </c>
      <c r="K35" s="901">
        <f>SUM(K30:K34)</f>
        <v>128027</v>
      </c>
      <c r="L35" s="901">
        <f>SUM(L30:L34)</f>
        <v>-484</v>
      </c>
      <c r="M35" s="901">
        <f>SUM(M30:M34)</f>
        <v>127543</v>
      </c>
      <c r="N35" s="901">
        <f>SUM(N30:N34)</f>
        <v>124744</v>
      </c>
      <c r="O35" s="1468">
        <f t="shared" si="16"/>
        <v>0.97805446006444885</v>
      </c>
      <c r="P35" s="901">
        <f>SUM(P30:P34)</f>
        <v>127543</v>
      </c>
      <c r="Q35" s="883">
        <f t="shared" si="18"/>
        <v>0</v>
      </c>
      <c r="R35" s="884">
        <f t="shared" si="18"/>
        <v>0</v>
      </c>
      <c r="S35" s="896"/>
      <c r="T35" s="897"/>
      <c r="U35" s="880">
        <f t="shared" si="3"/>
        <v>127543</v>
      </c>
      <c r="AC35" s="513"/>
    </row>
    <row r="36" spans="1:29" s="485" customFormat="1" ht="16.899999999999999" customHeight="1">
      <c r="A36" s="1792"/>
      <c r="B36" s="1464" t="s">
        <v>363</v>
      </c>
      <c r="C36" s="881">
        <v>0</v>
      </c>
      <c r="D36" s="881">
        <f>1280+15</f>
        <v>1295</v>
      </c>
      <c r="E36" s="881">
        <f>C36+D36</f>
        <v>1295</v>
      </c>
      <c r="F36" s="881"/>
      <c r="G36" s="876">
        <f t="shared" si="15"/>
        <v>1295</v>
      </c>
      <c r="H36" s="876"/>
      <c r="I36" s="876">
        <f t="shared" si="14"/>
        <v>1295</v>
      </c>
      <c r="J36" s="876">
        <v>26</v>
      </c>
      <c r="K36" s="876">
        <f>I36+J36</f>
        <v>1321</v>
      </c>
      <c r="L36" s="876">
        <v>1042</v>
      </c>
      <c r="M36" s="876">
        <f>K36+L36</f>
        <v>2363</v>
      </c>
      <c r="N36" s="1608">
        <v>2363</v>
      </c>
      <c r="O36" s="1468">
        <f t="shared" si="16"/>
        <v>1</v>
      </c>
      <c r="P36" s="876">
        <v>2363</v>
      </c>
      <c r="Q36" s="881">
        <v>0</v>
      </c>
      <c r="R36" s="882">
        <v>0</v>
      </c>
      <c r="S36" s="894"/>
      <c r="T36" s="895"/>
      <c r="U36" s="880">
        <f t="shared" si="3"/>
        <v>2363</v>
      </c>
      <c r="AC36" s="513"/>
    </row>
    <row r="37" spans="1:29" s="485" customFormat="1" ht="16.899999999999999" customHeight="1">
      <c r="A37" s="1792"/>
      <c r="B37" s="1464" t="s">
        <v>54</v>
      </c>
      <c r="C37" s="881">
        <v>0</v>
      </c>
      <c r="D37" s="881">
        <v>2246</v>
      </c>
      <c r="E37" s="881">
        <f>C37+D37</f>
        <v>2246</v>
      </c>
      <c r="F37" s="881"/>
      <c r="G37" s="876">
        <f t="shared" si="15"/>
        <v>2246</v>
      </c>
      <c r="H37" s="876"/>
      <c r="I37" s="876">
        <f t="shared" si="14"/>
        <v>2246</v>
      </c>
      <c r="J37" s="876"/>
      <c r="K37" s="876">
        <f>I37+J37</f>
        <v>2246</v>
      </c>
      <c r="L37" s="876"/>
      <c r="M37" s="876">
        <f>K37+L37</f>
        <v>2246</v>
      </c>
      <c r="N37" s="1608">
        <v>2246</v>
      </c>
      <c r="O37" s="1468">
        <f t="shared" si="16"/>
        <v>1</v>
      </c>
      <c r="P37" s="876">
        <f t="shared" si="17"/>
        <v>2246</v>
      </c>
      <c r="Q37" s="881">
        <v>0</v>
      </c>
      <c r="R37" s="882">
        <v>0</v>
      </c>
      <c r="S37" s="894"/>
      <c r="T37" s="895"/>
      <c r="U37" s="880">
        <f t="shared" si="3"/>
        <v>2246</v>
      </c>
      <c r="AC37" s="513"/>
    </row>
    <row r="38" spans="1:29" s="485" customFormat="1" ht="16.899999999999999" customHeight="1">
      <c r="A38" s="1792"/>
      <c r="B38" s="1464" t="s">
        <v>364</v>
      </c>
      <c r="C38" s="881">
        <v>0</v>
      </c>
      <c r="D38" s="881">
        <v>0</v>
      </c>
      <c r="E38" s="881">
        <f>C38+D38</f>
        <v>0</v>
      </c>
      <c r="F38" s="881"/>
      <c r="G38" s="876">
        <f t="shared" si="15"/>
        <v>0</v>
      </c>
      <c r="H38" s="876"/>
      <c r="I38" s="876">
        <f t="shared" si="14"/>
        <v>0</v>
      </c>
      <c r="J38" s="876"/>
      <c r="K38" s="876">
        <f>I38+J38</f>
        <v>0</v>
      </c>
      <c r="L38" s="876"/>
      <c r="M38" s="876">
        <f>K38+L38</f>
        <v>0</v>
      </c>
      <c r="N38" s="876"/>
      <c r="O38" s="1468"/>
      <c r="P38" s="876">
        <f t="shared" si="17"/>
        <v>0</v>
      </c>
      <c r="Q38" s="881">
        <v>0</v>
      </c>
      <c r="R38" s="882">
        <v>0</v>
      </c>
      <c r="S38" s="894"/>
      <c r="T38" s="895"/>
      <c r="U38" s="880">
        <f t="shared" si="3"/>
        <v>0</v>
      </c>
      <c r="AC38" s="513"/>
    </row>
    <row r="39" spans="1:29" s="486" customFormat="1" ht="16.899999999999999" customHeight="1">
      <c r="A39" s="1792"/>
      <c r="B39" s="1465" t="s">
        <v>365</v>
      </c>
      <c r="C39" s="883">
        <f t="shared" ref="C39:R39" si="19">SUM(C36:C38)</f>
        <v>0</v>
      </c>
      <c r="D39" s="883">
        <f t="shared" si="19"/>
        <v>3541</v>
      </c>
      <c r="E39" s="883">
        <f t="shared" si="19"/>
        <v>3541</v>
      </c>
      <c r="F39" s="883">
        <f t="shared" si="19"/>
        <v>0</v>
      </c>
      <c r="G39" s="883">
        <f t="shared" si="19"/>
        <v>3541</v>
      </c>
      <c r="H39" s="883">
        <f>SUM(H36:H38)</f>
        <v>0</v>
      </c>
      <c r="I39" s="901">
        <f t="shared" si="14"/>
        <v>3541</v>
      </c>
      <c r="J39" s="901">
        <f>SUM(J36:J38)</f>
        <v>26</v>
      </c>
      <c r="K39" s="901">
        <f>SUM(K36:K38)</f>
        <v>3567</v>
      </c>
      <c r="L39" s="901">
        <f>SUM(L36:L38)</f>
        <v>1042</v>
      </c>
      <c r="M39" s="901">
        <f>SUM(M36:M38)</f>
        <v>4609</v>
      </c>
      <c r="N39" s="1609">
        <f>SUM(N36:N38)</f>
        <v>4609</v>
      </c>
      <c r="O39" s="1468">
        <f t="shared" si="16"/>
        <v>1</v>
      </c>
      <c r="P39" s="901">
        <f>SUM(P36:P38)</f>
        <v>4609</v>
      </c>
      <c r="Q39" s="883">
        <f t="shared" si="19"/>
        <v>0</v>
      </c>
      <c r="R39" s="884">
        <f t="shared" si="19"/>
        <v>0</v>
      </c>
      <c r="S39" s="896"/>
      <c r="T39" s="897"/>
      <c r="U39" s="880">
        <f t="shared" si="3"/>
        <v>4609</v>
      </c>
      <c r="AC39" s="513"/>
    </row>
    <row r="40" spans="1:29" s="485" customFormat="1" ht="16.899999999999999" customHeight="1" thickBot="1">
      <c r="A40" s="1792"/>
      <c r="B40" s="1466" t="s">
        <v>138</v>
      </c>
      <c r="C40" s="887"/>
      <c r="D40" s="887"/>
      <c r="E40" s="887">
        <f>C40+D40</f>
        <v>0</v>
      </c>
      <c r="F40" s="887"/>
      <c r="G40" s="1290">
        <f t="shared" si="15"/>
        <v>0</v>
      </c>
      <c r="H40" s="1290"/>
      <c r="I40" s="1290">
        <f t="shared" si="14"/>
        <v>0</v>
      </c>
      <c r="J40" s="1290"/>
      <c r="K40" s="1290"/>
      <c r="L40" s="1290"/>
      <c r="M40" s="1290"/>
      <c r="N40" s="1290"/>
      <c r="O40" s="1472"/>
      <c r="P40" s="1290">
        <f t="shared" si="17"/>
        <v>0</v>
      </c>
      <c r="Q40" s="888"/>
      <c r="R40" s="889"/>
      <c r="S40" s="894"/>
      <c r="T40" s="895"/>
      <c r="U40" s="880">
        <f t="shared" si="3"/>
        <v>0</v>
      </c>
      <c r="AC40" s="513"/>
    </row>
    <row r="41" spans="1:29" s="486" customFormat="1" ht="16.899999999999999" customHeight="1" thickBot="1">
      <c r="A41" s="1793"/>
      <c r="B41" s="1479" t="s">
        <v>133</v>
      </c>
      <c r="C41" s="1475">
        <f t="shared" ref="C41:R41" si="20">C35+C39+C40</f>
        <v>127066</v>
      </c>
      <c r="D41" s="1475">
        <f t="shared" si="20"/>
        <v>3740</v>
      </c>
      <c r="E41" s="1475">
        <f t="shared" si="20"/>
        <v>130806</v>
      </c>
      <c r="F41" s="1475">
        <f t="shared" si="20"/>
        <v>288</v>
      </c>
      <c r="G41" s="1475">
        <f t="shared" si="20"/>
        <v>131094</v>
      </c>
      <c r="H41" s="1475">
        <f>H35+H39+H40</f>
        <v>150</v>
      </c>
      <c r="I41" s="1475">
        <f t="shared" si="14"/>
        <v>131244</v>
      </c>
      <c r="J41" s="1475">
        <f>J35+J39+J40</f>
        <v>350</v>
      </c>
      <c r="K41" s="1475">
        <f>I41+J41</f>
        <v>131594</v>
      </c>
      <c r="L41" s="1475">
        <f>L35+L39+L40</f>
        <v>558</v>
      </c>
      <c r="M41" s="1475">
        <f>K41+L41</f>
        <v>132152</v>
      </c>
      <c r="N41" s="1621">
        <f>N35+N39+N40</f>
        <v>129353</v>
      </c>
      <c r="O41" s="1473">
        <f t="shared" si="16"/>
        <v>0.97881984381621168</v>
      </c>
      <c r="P41" s="1475">
        <f>SUM(P35,P39,P40)</f>
        <v>132152</v>
      </c>
      <c r="Q41" s="1475">
        <f t="shared" si="20"/>
        <v>0</v>
      </c>
      <c r="R41" s="1477">
        <f t="shared" si="20"/>
        <v>0</v>
      </c>
      <c r="S41" s="896"/>
      <c r="T41" s="897"/>
      <c r="U41" s="880">
        <f t="shared" si="3"/>
        <v>132152</v>
      </c>
      <c r="AC41" s="513"/>
    </row>
    <row r="42" spans="1:29" s="509" customFormat="1" ht="24" customHeight="1" thickBot="1">
      <c r="A42" s="660" t="s">
        <v>260</v>
      </c>
      <c r="B42" s="1811" t="s">
        <v>479</v>
      </c>
      <c r="C42" s="1812"/>
      <c r="D42" s="1812"/>
      <c r="E42" s="1812"/>
      <c r="F42" s="1812"/>
      <c r="G42" s="1812"/>
      <c r="H42" s="1812"/>
      <c r="I42" s="1812"/>
      <c r="J42" s="1812"/>
      <c r="K42" s="1812"/>
      <c r="L42" s="1812"/>
      <c r="M42" s="1812"/>
      <c r="N42" s="1812"/>
      <c r="O42" s="1812"/>
      <c r="P42" s="1812"/>
      <c r="Q42" s="1812"/>
      <c r="R42" s="1813"/>
      <c r="S42" s="653"/>
      <c r="T42" s="654"/>
      <c r="U42" s="657"/>
      <c r="AC42" s="510"/>
    </row>
    <row r="43" spans="1:29" s="485" customFormat="1" ht="16.899999999999999" customHeight="1">
      <c r="A43" s="1791"/>
      <c r="B43" s="516" t="s">
        <v>40</v>
      </c>
      <c r="C43" s="876">
        <v>52570</v>
      </c>
      <c r="D43" s="876">
        <f>206+282</f>
        <v>488</v>
      </c>
      <c r="E43" s="876">
        <f>C43+D43</f>
        <v>53058</v>
      </c>
      <c r="F43" s="876">
        <f>119+113</f>
        <v>232</v>
      </c>
      <c r="G43" s="876">
        <f>E43+F43</f>
        <v>53290</v>
      </c>
      <c r="H43" s="876">
        <v>76</v>
      </c>
      <c r="I43" s="876">
        <f t="shared" ref="I43:I54" si="21">G43+H43</f>
        <v>53366</v>
      </c>
      <c r="J43" s="876">
        <f>155+35</f>
        <v>190</v>
      </c>
      <c r="K43" s="876">
        <f>I43+J43</f>
        <v>53556</v>
      </c>
      <c r="L43" s="876">
        <f>35+349</f>
        <v>384</v>
      </c>
      <c r="M43" s="876">
        <v>53720</v>
      </c>
      <c r="N43" s="1608">
        <v>53460</v>
      </c>
      <c r="O43" s="1468">
        <f>N43/M43</f>
        <v>0.99516008935219658</v>
      </c>
      <c r="P43" s="876">
        <v>53940</v>
      </c>
      <c r="Q43" s="876">
        <v>0</v>
      </c>
      <c r="R43" s="877">
        <v>0</v>
      </c>
      <c r="S43" s="894"/>
      <c r="T43" s="895"/>
      <c r="U43" s="880">
        <f t="shared" si="3"/>
        <v>53940</v>
      </c>
      <c r="AC43" s="513"/>
    </row>
    <row r="44" spans="1:29" s="485" customFormat="1" ht="30.95" customHeight="1">
      <c r="A44" s="1792"/>
      <c r="B44" s="517" t="s">
        <v>303</v>
      </c>
      <c r="C44" s="881">
        <v>14200</v>
      </c>
      <c r="D44" s="881">
        <f>56+38</f>
        <v>94</v>
      </c>
      <c r="E44" s="876">
        <f>C44+D44</f>
        <v>14294</v>
      </c>
      <c r="F44" s="876">
        <f>33+15</f>
        <v>48</v>
      </c>
      <c r="G44" s="876">
        <f t="shared" ref="G44:G53" si="22">E44+F44</f>
        <v>14342</v>
      </c>
      <c r="H44" s="876">
        <v>20</v>
      </c>
      <c r="I44" s="876">
        <f t="shared" si="21"/>
        <v>14362</v>
      </c>
      <c r="J44" s="876">
        <f>20+10</f>
        <v>30</v>
      </c>
      <c r="K44" s="876">
        <f>I44+J44</f>
        <v>14392</v>
      </c>
      <c r="L44" s="876">
        <v>10</v>
      </c>
      <c r="M44" s="876">
        <v>14622</v>
      </c>
      <c r="N44" s="876">
        <v>14622</v>
      </c>
      <c r="O44" s="1468">
        <f t="shared" ref="O44:O54" si="23">N44/M44</f>
        <v>1</v>
      </c>
      <c r="P44" s="876">
        <v>14402</v>
      </c>
      <c r="Q44" s="881">
        <v>0</v>
      </c>
      <c r="R44" s="882">
        <v>0</v>
      </c>
      <c r="S44" s="894"/>
      <c r="T44" s="895"/>
      <c r="U44" s="880">
        <f t="shared" si="3"/>
        <v>14402</v>
      </c>
      <c r="AC44" s="513"/>
    </row>
    <row r="45" spans="1:29" s="485" customFormat="1" ht="16.899999999999999" customHeight="1">
      <c r="A45" s="1792"/>
      <c r="B45" s="517" t="s">
        <v>132</v>
      </c>
      <c r="C45" s="881">
        <v>7400</v>
      </c>
      <c r="D45" s="881">
        <f>1500+2000</f>
        <v>3500</v>
      </c>
      <c r="E45" s="876">
        <f>C45+D45</f>
        <v>10900</v>
      </c>
      <c r="F45" s="876"/>
      <c r="G45" s="876">
        <f t="shared" si="22"/>
        <v>10900</v>
      </c>
      <c r="H45" s="876"/>
      <c r="I45" s="876">
        <f t="shared" si="21"/>
        <v>10900</v>
      </c>
      <c r="J45" s="876"/>
      <c r="K45" s="876">
        <f>I45+J45</f>
        <v>10900</v>
      </c>
      <c r="L45" s="876"/>
      <c r="M45" s="876">
        <f>K45+L45</f>
        <v>10900</v>
      </c>
      <c r="N45" s="1608">
        <v>7861</v>
      </c>
      <c r="O45" s="1468">
        <f t="shared" si="23"/>
        <v>0.72119266055045872</v>
      </c>
      <c r="P45" s="876">
        <f t="shared" ref="P45:P53" si="24">K45</f>
        <v>10900</v>
      </c>
      <c r="Q45" s="881">
        <v>0</v>
      </c>
      <c r="R45" s="882">
        <v>0</v>
      </c>
      <c r="S45" s="894"/>
      <c r="T45" s="895"/>
      <c r="U45" s="880">
        <f t="shared" si="3"/>
        <v>10900</v>
      </c>
      <c r="AC45" s="513"/>
    </row>
    <row r="46" spans="1:29" s="485" customFormat="1" ht="16.899999999999999" customHeight="1">
      <c r="A46" s="1792"/>
      <c r="B46" s="517" t="s">
        <v>42</v>
      </c>
      <c r="C46" s="881">
        <v>0</v>
      </c>
      <c r="D46" s="881"/>
      <c r="E46" s="876">
        <f>C46+D46</f>
        <v>0</v>
      </c>
      <c r="F46" s="876"/>
      <c r="G46" s="876">
        <f t="shared" si="22"/>
        <v>0</v>
      </c>
      <c r="H46" s="876"/>
      <c r="I46" s="876">
        <f t="shared" si="21"/>
        <v>0</v>
      </c>
      <c r="J46" s="876"/>
      <c r="K46" s="876">
        <f>I46+J46</f>
        <v>0</v>
      </c>
      <c r="L46" s="876"/>
      <c r="M46" s="876">
        <f>K46+L46</f>
        <v>0</v>
      </c>
      <c r="N46" s="876"/>
      <c r="O46" s="1468"/>
      <c r="P46" s="876">
        <f t="shared" si="24"/>
        <v>0</v>
      </c>
      <c r="Q46" s="881">
        <v>0</v>
      </c>
      <c r="R46" s="882">
        <v>0</v>
      </c>
      <c r="S46" s="894"/>
      <c r="T46" s="895"/>
      <c r="U46" s="880">
        <f t="shared" si="3"/>
        <v>0</v>
      </c>
      <c r="AC46" s="513"/>
    </row>
    <row r="47" spans="1:29" s="485" customFormat="1" ht="16.899999999999999" customHeight="1">
      <c r="A47" s="1792"/>
      <c r="B47" s="517" t="s">
        <v>361</v>
      </c>
      <c r="C47" s="881">
        <v>3900</v>
      </c>
      <c r="D47" s="881">
        <v>-3900</v>
      </c>
      <c r="E47" s="876">
        <f>C47+D47</f>
        <v>0</v>
      </c>
      <c r="F47" s="876"/>
      <c r="G47" s="876">
        <f t="shared" si="22"/>
        <v>0</v>
      </c>
      <c r="H47" s="876"/>
      <c r="I47" s="876">
        <f t="shared" si="21"/>
        <v>0</v>
      </c>
      <c r="J47" s="876"/>
      <c r="K47" s="876">
        <f>I47+J47</f>
        <v>0</v>
      </c>
      <c r="L47" s="876"/>
      <c r="M47" s="876">
        <f>K47+L47</f>
        <v>0</v>
      </c>
      <c r="N47" s="876"/>
      <c r="O47" s="1468"/>
      <c r="P47" s="876">
        <f t="shared" si="24"/>
        <v>0</v>
      </c>
      <c r="Q47" s="881">
        <v>0</v>
      </c>
      <c r="R47" s="882">
        <v>0</v>
      </c>
      <c r="S47" s="894"/>
      <c r="T47" s="895"/>
      <c r="U47" s="880">
        <f t="shared" si="3"/>
        <v>0</v>
      </c>
      <c r="AC47" s="513"/>
    </row>
    <row r="48" spans="1:29" s="486" customFormat="1" ht="16.899999999999999" customHeight="1">
      <c r="A48" s="1792"/>
      <c r="B48" s="518" t="s">
        <v>362</v>
      </c>
      <c r="C48" s="883">
        <f t="shared" ref="C48:T48" si="25">SUM(C43:C47)</f>
        <v>78070</v>
      </c>
      <c r="D48" s="883">
        <f t="shared" si="25"/>
        <v>182</v>
      </c>
      <c r="E48" s="883">
        <f t="shared" si="25"/>
        <v>78252</v>
      </c>
      <c r="F48" s="883">
        <f t="shared" si="25"/>
        <v>280</v>
      </c>
      <c r="G48" s="883">
        <f t="shared" si="25"/>
        <v>78532</v>
      </c>
      <c r="H48" s="883">
        <f>SUM(H43:H47)</f>
        <v>96</v>
      </c>
      <c r="I48" s="901">
        <f t="shared" si="21"/>
        <v>78628</v>
      </c>
      <c r="J48" s="901">
        <f>SUM(J43:J47)</f>
        <v>220</v>
      </c>
      <c r="K48" s="901">
        <f>SUM(K43:K47)</f>
        <v>78848</v>
      </c>
      <c r="L48" s="901">
        <f>SUM(L43:L47)</f>
        <v>394</v>
      </c>
      <c r="M48" s="901">
        <f>SUM(M43:M47)</f>
        <v>79242</v>
      </c>
      <c r="N48" s="901">
        <f>SUM(N43:N47)</f>
        <v>75943</v>
      </c>
      <c r="O48" s="1468">
        <f t="shared" si="23"/>
        <v>0.95836803715201535</v>
      </c>
      <c r="P48" s="901">
        <f>SUM(P43:P47)</f>
        <v>79242</v>
      </c>
      <c r="Q48" s="883">
        <f t="shared" si="25"/>
        <v>0</v>
      </c>
      <c r="R48" s="884">
        <f t="shared" si="25"/>
        <v>0</v>
      </c>
      <c r="S48" s="898">
        <f t="shared" si="25"/>
        <v>0</v>
      </c>
      <c r="T48" s="883">
        <f t="shared" si="25"/>
        <v>0</v>
      </c>
      <c r="U48" s="880">
        <f t="shared" si="3"/>
        <v>79242</v>
      </c>
      <c r="W48" s="1627">
        <f>M45-N45</f>
        <v>3039</v>
      </c>
      <c r="AC48" s="513"/>
    </row>
    <row r="49" spans="1:29" s="485" customFormat="1" ht="16.899999999999999" customHeight="1">
      <c r="A49" s="1792"/>
      <c r="B49" s="517" t="s">
        <v>363</v>
      </c>
      <c r="C49" s="881">
        <v>0</v>
      </c>
      <c r="D49" s="881">
        <f>1820+113</f>
        <v>1933</v>
      </c>
      <c r="E49" s="881">
        <f>C49+D49</f>
        <v>1933</v>
      </c>
      <c r="F49" s="881"/>
      <c r="G49" s="876">
        <f t="shared" si="22"/>
        <v>1933</v>
      </c>
      <c r="H49" s="876"/>
      <c r="I49" s="876">
        <f t="shared" si="21"/>
        <v>1933</v>
      </c>
      <c r="J49" s="876"/>
      <c r="K49" s="876">
        <f>I49+J49</f>
        <v>1933</v>
      </c>
      <c r="L49" s="876"/>
      <c r="M49" s="876">
        <f>K49+L49</f>
        <v>1933</v>
      </c>
      <c r="N49" s="1608">
        <v>1039</v>
      </c>
      <c r="O49" s="1468">
        <f t="shared" si="23"/>
        <v>0.53750646663217794</v>
      </c>
      <c r="P49" s="876">
        <f t="shared" si="24"/>
        <v>1933</v>
      </c>
      <c r="Q49" s="881">
        <v>0</v>
      </c>
      <c r="R49" s="882">
        <v>0</v>
      </c>
      <c r="S49" s="894"/>
      <c r="T49" s="895"/>
      <c r="U49" s="880">
        <f t="shared" si="3"/>
        <v>1933</v>
      </c>
      <c r="AC49" s="513"/>
    </row>
    <row r="50" spans="1:29" s="485" customFormat="1" ht="16.899999999999999" customHeight="1">
      <c r="A50" s="1792"/>
      <c r="B50" s="517" t="s">
        <v>54</v>
      </c>
      <c r="C50" s="881">
        <v>0</v>
      </c>
      <c r="D50" s="881">
        <v>900</v>
      </c>
      <c r="E50" s="881">
        <f>C50+D50</f>
        <v>900</v>
      </c>
      <c r="F50" s="881"/>
      <c r="G50" s="876">
        <f t="shared" si="22"/>
        <v>900</v>
      </c>
      <c r="H50" s="876"/>
      <c r="I50" s="876">
        <f t="shared" si="21"/>
        <v>900</v>
      </c>
      <c r="J50" s="876"/>
      <c r="K50" s="876">
        <f>I50+J50</f>
        <v>900</v>
      </c>
      <c r="L50" s="876"/>
      <c r="M50" s="876">
        <f>K50+L50</f>
        <v>900</v>
      </c>
      <c r="N50" s="876">
        <v>0</v>
      </c>
      <c r="O50" s="1468">
        <f t="shared" si="23"/>
        <v>0</v>
      </c>
      <c r="P50" s="876">
        <f t="shared" si="24"/>
        <v>900</v>
      </c>
      <c r="Q50" s="881">
        <v>0</v>
      </c>
      <c r="R50" s="882">
        <v>0</v>
      </c>
      <c r="S50" s="894"/>
      <c r="T50" s="895"/>
      <c r="U50" s="880">
        <f t="shared" si="3"/>
        <v>900</v>
      </c>
      <c r="AC50" s="513"/>
    </row>
    <row r="51" spans="1:29" s="485" customFormat="1" ht="16.899999999999999" customHeight="1">
      <c r="A51" s="1792"/>
      <c r="B51" s="517" t="s">
        <v>364</v>
      </c>
      <c r="C51" s="881">
        <v>0</v>
      </c>
      <c r="D51" s="881">
        <v>0</v>
      </c>
      <c r="E51" s="881">
        <f>C51+D51</f>
        <v>0</v>
      </c>
      <c r="F51" s="881"/>
      <c r="G51" s="876">
        <f t="shared" si="22"/>
        <v>0</v>
      </c>
      <c r="H51" s="876"/>
      <c r="I51" s="876">
        <f t="shared" si="21"/>
        <v>0</v>
      </c>
      <c r="J51" s="876"/>
      <c r="K51" s="876">
        <f>I51+J51</f>
        <v>0</v>
      </c>
      <c r="L51" s="876"/>
      <c r="M51" s="876">
        <f>K51+L51</f>
        <v>0</v>
      </c>
      <c r="N51" s="876"/>
      <c r="O51" s="1468"/>
      <c r="P51" s="876">
        <f t="shared" si="24"/>
        <v>0</v>
      </c>
      <c r="Q51" s="881">
        <v>0</v>
      </c>
      <c r="R51" s="882">
        <v>0</v>
      </c>
      <c r="S51" s="894"/>
      <c r="T51" s="895"/>
      <c r="U51" s="880">
        <f t="shared" si="3"/>
        <v>0</v>
      </c>
      <c r="AC51" s="513"/>
    </row>
    <row r="52" spans="1:29" s="486" customFormat="1" ht="16.899999999999999" customHeight="1">
      <c r="A52" s="1792"/>
      <c r="B52" s="518" t="s">
        <v>365</v>
      </c>
      <c r="C52" s="883">
        <f t="shared" ref="C52:R52" si="26">SUM(C49:C51)</f>
        <v>0</v>
      </c>
      <c r="D52" s="883">
        <f t="shared" si="26"/>
        <v>2833</v>
      </c>
      <c r="E52" s="883">
        <f t="shared" si="26"/>
        <v>2833</v>
      </c>
      <c r="F52" s="883">
        <f t="shared" si="26"/>
        <v>0</v>
      </c>
      <c r="G52" s="883">
        <f t="shared" si="26"/>
        <v>2833</v>
      </c>
      <c r="H52" s="883">
        <f>SUM(H49:H51)</f>
        <v>0</v>
      </c>
      <c r="I52" s="901">
        <f t="shared" si="21"/>
        <v>2833</v>
      </c>
      <c r="J52" s="901">
        <f>SUM(J49:J51)</f>
        <v>0</v>
      </c>
      <c r="K52" s="901">
        <f>SUM(K49:K51)</f>
        <v>2833</v>
      </c>
      <c r="L52" s="901">
        <f>SUM(L49:L51)</f>
        <v>0</v>
      </c>
      <c r="M52" s="901">
        <f>SUM(M49:M51)</f>
        <v>2833</v>
      </c>
      <c r="N52" s="901">
        <f>SUM(N49:N51)</f>
        <v>1039</v>
      </c>
      <c r="O52" s="1468">
        <f t="shared" si="23"/>
        <v>0.36674902929756442</v>
      </c>
      <c r="P52" s="901">
        <f>SUM(P49:P51)</f>
        <v>2833</v>
      </c>
      <c r="Q52" s="883">
        <f t="shared" si="26"/>
        <v>0</v>
      </c>
      <c r="R52" s="884">
        <f t="shared" si="26"/>
        <v>0</v>
      </c>
      <c r="S52" s="896"/>
      <c r="T52" s="897"/>
      <c r="U52" s="880">
        <f t="shared" si="3"/>
        <v>2833</v>
      </c>
      <c r="AC52" s="513"/>
    </row>
    <row r="53" spans="1:29" s="485" customFormat="1" ht="16.899999999999999" customHeight="1" thickBot="1">
      <c r="A53" s="1792"/>
      <c r="B53" s="658" t="s">
        <v>138</v>
      </c>
      <c r="C53" s="887"/>
      <c r="D53" s="887"/>
      <c r="E53" s="887">
        <f>C53+D53</f>
        <v>0</v>
      </c>
      <c r="F53" s="887"/>
      <c r="G53" s="1290">
        <f t="shared" si="22"/>
        <v>0</v>
      </c>
      <c r="H53" s="1290"/>
      <c r="I53" s="1290">
        <f t="shared" si="21"/>
        <v>0</v>
      </c>
      <c r="J53" s="1290"/>
      <c r="K53" s="1290">
        <f>I53+J53</f>
        <v>0</v>
      </c>
      <c r="L53" s="1290"/>
      <c r="M53" s="1290">
        <f>K53+L53</f>
        <v>0</v>
      </c>
      <c r="N53" s="1290"/>
      <c r="O53" s="1472"/>
      <c r="P53" s="1290">
        <f t="shared" si="24"/>
        <v>0</v>
      </c>
      <c r="Q53" s="888"/>
      <c r="R53" s="889"/>
      <c r="S53" s="894"/>
      <c r="T53" s="895"/>
      <c r="U53" s="880">
        <f t="shared" si="3"/>
        <v>0</v>
      </c>
      <c r="AC53" s="513"/>
    </row>
    <row r="54" spans="1:29" s="486" customFormat="1" ht="16.899999999999999" customHeight="1" thickBot="1">
      <c r="A54" s="1794"/>
      <c r="B54" s="1474" t="s">
        <v>133</v>
      </c>
      <c r="C54" s="1475">
        <f t="shared" ref="C54:R54" si="27">C48+C52+C53</f>
        <v>78070</v>
      </c>
      <c r="D54" s="1475">
        <f t="shared" si="27"/>
        <v>3015</v>
      </c>
      <c r="E54" s="1475">
        <f t="shared" si="27"/>
        <v>81085</v>
      </c>
      <c r="F54" s="1475">
        <f t="shared" si="27"/>
        <v>280</v>
      </c>
      <c r="G54" s="1475">
        <f t="shared" si="27"/>
        <v>81365</v>
      </c>
      <c r="H54" s="1475">
        <f>H48+H52+H53</f>
        <v>96</v>
      </c>
      <c r="I54" s="1475">
        <f t="shared" si="21"/>
        <v>81461</v>
      </c>
      <c r="J54" s="1475">
        <f>J48+J52+J53</f>
        <v>220</v>
      </c>
      <c r="K54" s="1475">
        <f>K48+K52+K53</f>
        <v>81681</v>
      </c>
      <c r="L54" s="1475">
        <f>L48+L52+L53</f>
        <v>394</v>
      </c>
      <c r="M54" s="1475">
        <f>M48+M52+M53</f>
        <v>82075</v>
      </c>
      <c r="N54" s="1621">
        <f>N48+N52+N53</f>
        <v>76982</v>
      </c>
      <c r="O54" s="1473">
        <f t="shared" si="23"/>
        <v>0.93794699969540052</v>
      </c>
      <c r="P54" s="1475">
        <f>SUM(P53,P48,P52)</f>
        <v>82075</v>
      </c>
      <c r="Q54" s="1476">
        <f t="shared" si="27"/>
        <v>0</v>
      </c>
      <c r="R54" s="1477">
        <f t="shared" si="27"/>
        <v>0</v>
      </c>
      <c r="S54" s="896"/>
      <c r="T54" s="897"/>
      <c r="U54" s="880">
        <f t="shared" si="3"/>
        <v>82075</v>
      </c>
      <c r="AC54" s="513"/>
    </row>
    <row r="55" spans="1:29" s="509" customFormat="1" ht="24" customHeight="1" thickBot="1">
      <c r="A55" s="660" t="s">
        <v>261</v>
      </c>
      <c r="B55" s="1811" t="s">
        <v>196</v>
      </c>
      <c r="C55" s="1812"/>
      <c r="D55" s="1812"/>
      <c r="E55" s="1812"/>
      <c r="F55" s="1812"/>
      <c r="G55" s="1812"/>
      <c r="H55" s="1812"/>
      <c r="I55" s="1812"/>
      <c r="J55" s="1812"/>
      <c r="K55" s="1812"/>
      <c r="L55" s="1812"/>
      <c r="M55" s="1812"/>
      <c r="N55" s="1812"/>
      <c r="O55" s="1812"/>
      <c r="P55" s="1812"/>
      <c r="Q55" s="1812"/>
      <c r="R55" s="1813"/>
      <c r="S55" s="653"/>
      <c r="T55" s="654"/>
      <c r="U55" s="657"/>
      <c r="AC55" s="510"/>
    </row>
    <row r="56" spans="1:29" s="485" customFormat="1" ht="16.899999999999999" customHeight="1">
      <c r="A56" s="1791"/>
      <c r="B56" s="1463" t="s">
        <v>40</v>
      </c>
      <c r="C56" s="876">
        <v>76704</v>
      </c>
      <c r="D56" s="876">
        <f>308+310</f>
        <v>618</v>
      </c>
      <c r="E56" s="876">
        <f>C56+D56</f>
        <v>77322</v>
      </c>
      <c r="F56" s="876">
        <f>200+115</f>
        <v>315</v>
      </c>
      <c r="G56" s="876">
        <f>E56+F56</f>
        <v>77637</v>
      </c>
      <c r="H56" s="876">
        <v>116</v>
      </c>
      <c r="I56" s="876">
        <f t="shared" ref="I56:I67" si="28">G56+H56</f>
        <v>77753</v>
      </c>
      <c r="J56" s="876">
        <f>232+52</f>
        <v>284</v>
      </c>
      <c r="K56" s="876">
        <f>I56+J56</f>
        <v>78037</v>
      </c>
      <c r="L56" s="876">
        <v>52</v>
      </c>
      <c r="M56" s="876">
        <v>77889</v>
      </c>
      <c r="N56" s="1608">
        <v>77032</v>
      </c>
      <c r="O56" s="1468">
        <f>N56/M56</f>
        <v>0.98899716262886928</v>
      </c>
      <c r="P56" s="876">
        <v>78089</v>
      </c>
      <c r="Q56" s="876">
        <v>0</v>
      </c>
      <c r="R56" s="877">
        <v>0</v>
      </c>
      <c r="S56" s="894"/>
      <c r="T56" s="895"/>
      <c r="U56" s="880">
        <f t="shared" si="3"/>
        <v>78089</v>
      </c>
      <c r="V56" s="899"/>
      <c r="W56" s="1607"/>
      <c r="AC56" s="513"/>
    </row>
    <row r="57" spans="1:29" s="485" customFormat="1" ht="30.95" customHeight="1">
      <c r="A57" s="1792"/>
      <c r="B57" s="1464" t="s">
        <v>303</v>
      </c>
      <c r="C57" s="881">
        <v>21922</v>
      </c>
      <c r="D57" s="881">
        <f>83+42</f>
        <v>125</v>
      </c>
      <c r="E57" s="876">
        <f>C57+D57</f>
        <v>22047</v>
      </c>
      <c r="F57" s="876">
        <f>54+15</f>
        <v>69</v>
      </c>
      <c r="G57" s="876">
        <f t="shared" ref="G57:G66" si="29">E57+F57</f>
        <v>22116</v>
      </c>
      <c r="H57" s="876">
        <v>31</v>
      </c>
      <c r="I57" s="876">
        <f t="shared" si="28"/>
        <v>22147</v>
      </c>
      <c r="J57" s="876">
        <f>31+14</f>
        <v>45</v>
      </c>
      <c r="K57" s="876">
        <f>I57+J57</f>
        <v>22192</v>
      </c>
      <c r="L57" s="876">
        <f>14+255+76</f>
        <v>345</v>
      </c>
      <c r="M57" s="876">
        <v>22737</v>
      </c>
      <c r="N57" s="1608">
        <v>22727</v>
      </c>
      <c r="O57" s="1468">
        <f t="shared" ref="O57:O67" si="30">N57/M57</f>
        <v>0.99956018823943349</v>
      </c>
      <c r="P57" s="876">
        <v>22537</v>
      </c>
      <c r="Q57" s="881">
        <v>0</v>
      </c>
      <c r="R57" s="882">
        <v>0</v>
      </c>
      <c r="S57" s="894"/>
      <c r="T57" s="895"/>
      <c r="U57" s="880">
        <f t="shared" si="3"/>
        <v>22537</v>
      </c>
      <c r="V57" s="899"/>
      <c r="AC57" s="513"/>
    </row>
    <row r="58" spans="1:29" s="485" customFormat="1" ht="16.899999999999999" customHeight="1">
      <c r="A58" s="1792"/>
      <c r="B58" s="1464" t="s">
        <v>132</v>
      </c>
      <c r="C58" s="881">
        <v>7235</v>
      </c>
      <c r="D58" s="881">
        <f>1600-950+228</f>
        <v>878</v>
      </c>
      <c r="E58" s="876">
        <f>C58+D58</f>
        <v>8113</v>
      </c>
      <c r="F58" s="876"/>
      <c r="G58" s="876">
        <f t="shared" si="29"/>
        <v>8113</v>
      </c>
      <c r="H58" s="876">
        <v>800</v>
      </c>
      <c r="I58" s="876">
        <f t="shared" si="28"/>
        <v>8913</v>
      </c>
      <c r="J58" s="876"/>
      <c r="K58" s="876">
        <f>I58+J58</f>
        <v>8913</v>
      </c>
      <c r="L58" s="876">
        <v>150</v>
      </c>
      <c r="M58" s="876">
        <f>K58+L58</f>
        <v>9063</v>
      </c>
      <c r="N58" s="1608">
        <v>8312</v>
      </c>
      <c r="O58" s="1468">
        <f t="shared" si="30"/>
        <v>0.91713560631137592</v>
      </c>
      <c r="P58" s="876">
        <v>9063</v>
      </c>
      <c r="Q58" s="881">
        <v>0</v>
      </c>
      <c r="R58" s="882">
        <v>0</v>
      </c>
      <c r="S58" s="894"/>
      <c r="T58" s="895"/>
      <c r="U58" s="880">
        <f t="shared" si="3"/>
        <v>9063</v>
      </c>
      <c r="V58" s="899"/>
      <c r="W58" s="1607"/>
      <c r="AC58" s="513"/>
    </row>
    <row r="59" spans="1:29" s="485" customFormat="1" ht="16.899999999999999" customHeight="1">
      <c r="A59" s="1792"/>
      <c r="B59" s="1464" t="s">
        <v>42</v>
      </c>
      <c r="C59" s="881">
        <v>0</v>
      </c>
      <c r="D59" s="881"/>
      <c r="E59" s="876">
        <f>C59+D59</f>
        <v>0</v>
      </c>
      <c r="F59" s="876"/>
      <c r="G59" s="876">
        <f t="shared" si="29"/>
        <v>0</v>
      </c>
      <c r="H59" s="876"/>
      <c r="I59" s="876">
        <f t="shared" si="28"/>
        <v>0</v>
      </c>
      <c r="J59" s="876"/>
      <c r="K59" s="876">
        <f>I59+J59</f>
        <v>0</v>
      </c>
      <c r="L59" s="876"/>
      <c r="M59" s="876">
        <f>K59+L59</f>
        <v>0</v>
      </c>
      <c r="N59" s="876"/>
      <c r="O59" s="1468"/>
      <c r="P59" s="876">
        <f t="shared" ref="P59:P66" si="31">K59</f>
        <v>0</v>
      </c>
      <c r="Q59" s="881">
        <v>0</v>
      </c>
      <c r="R59" s="882">
        <v>0</v>
      </c>
      <c r="S59" s="894"/>
      <c r="T59" s="895"/>
      <c r="U59" s="880">
        <f t="shared" si="3"/>
        <v>0</v>
      </c>
      <c r="V59" s="899"/>
      <c r="AC59" s="513"/>
    </row>
    <row r="60" spans="1:29" s="485" customFormat="1" ht="16.899999999999999" customHeight="1">
      <c r="A60" s="1792"/>
      <c r="B60" s="1464" t="s">
        <v>361</v>
      </c>
      <c r="C60" s="881">
        <v>3300</v>
      </c>
      <c r="D60" s="881">
        <v>-3300</v>
      </c>
      <c r="E60" s="876">
        <f>C60+D60</f>
        <v>0</v>
      </c>
      <c r="F60" s="876"/>
      <c r="G60" s="876">
        <f t="shared" si="29"/>
        <v>0</v>
      </c>
      <c r="H60" s="876"/>
      <c r="I60" s="876">
        <f t="shared" si="28"/>
        <v>0</v>
      </c>
      <c r="J60" s="876"/>
      <c r="K60" s="876">
        <f>I60+J60</f>
        <v>0</v>
      </c>
      <c r="L60" s="876"/>
      <c r="M60" s="876">
        <f>K60+L60</f>
        <v>0</v>
      </c>
      <c r="N60" s="876"/>
      <c r="O60" s="1468"/>
      <c r="P60" s="876">
        <f t="shared" si="31"/>
        <v>0</v>
      </c>
      <c r="Q60" s="881">
        <v>0</v>
      </c>
      <c r="R60" s="882">
        <v>0</v>
      </c>
      <c r="S60" s="894"/>
      <c r="T60" s="895"/>
      <c r="U60" s="880">
        <f t="shared" si="3"/>
        <v>0</v>
      </c>
      <c r="V60" s="899"/>
      <c r="AC60" s="513"/>
    </row>
    <row r="61" spans="1:29" s="486" customFormat="1" ht="16.899999999999999" customHeight="1">
      <c r="A61" s="1792"/>
      <c r="B61" s="1465" t="s">
        <v>362</v>
      </c>
      <c r="C61" s="883">
        <f t="shared" ref="C61:R61" si="32">SUM(C56:C60)</f>
        <v>109161</v>
      </c>
      <c r="D61" s="883">
        <f t="shared" si="32"/>
        <v>-1679</v>
      </c>
      <c r="E61" s="883">
        <f t="shared" si="32"/>
        <v>107482</v>
      </c>
      <c r="F61" s="883">
        <f t="shared" si="32"/>
        <v>384</v>
      </c>
      <c r="G61" s="883">
        <f t="shared" si="32"/>
        <v>107866</v>
      </c>
      <c r="H61" s="883">
        <f>SUM(H56:H60)</f>
        <v>947</v>
      </c>
      <c r="I61" s="901">
        <f t="shared" si="28"/>
        <v>108813</v>
      </c>
      <c r="J61" s="901">
        <f>SUM(J56:J60)</f>
        <v>329</v>
      </c>
      <c r="K61" s="901">
        <f>SUM(K56:K60)</f>
        <v>109142</v>
      </c>
      <c r="L61" s="901">
        <f>SUM(L56:L60)</f>
        <v>547</v>
      </c>
      <c r="M61" s="901">
        <f>SUM(M56:M60)</f>
        <v>109689</v>
      </c>
      <c r="N61" s="1609">
        <f>SUM(N56:N60)</f>
        <v>108071</v>
      </c>
      <c r="O61" s="1468">
        <f t="shared" si="30"/>
        <v>0.98524920456928222</v>
      </c>
      <c r="P61" s="901">
        <f>SUM(P56:P60)</f>
        <v>109689</v>
      </c>
      <c r="Q61" s="883">
        <f t="shared" si="32"/>
        <v>0</v>
      </c>
      <c r="R61" s="884">
        <f t="shared" si="32"/>
        <v>0</v>
      </c>
      <c r="S61" s="896"/>
      <c r="T61" s="897"/>
      <c r="U61" s="880">
        <f t="shared" si="3"/>
        <v>109689</v>
      </c>
      <c r="V61" s="900"/>
      <c r="AC61" s="513"/>
    </row>
    <row r="62" spans="1:29" s="485" customFormat="1" ht="16.899999999999999" customHeight="1">
      <c r="A62" s="1792"/>
      <c r="B62" s="1464" t="s">
        <v>363</v>
      </c>
      <c r="C62" s="881">
        <v>0</v>
      </c>
      <c r="D62" s="881">
        <v>1600</v>
      </c>
      <c r="E62" s="881">
        <f>C62+D62</f>
        <v>1600</v>
      </c>
      <c r="F62" s="881"/>
      <c r="G62" s="876">
        <f t="shared" si="29"/>
        <v>1600</v>
      </c>
      <c r="H62" s="876">
        <v>-800</v>
      </c>
      <c r="I62" s="876">
        <f t="shared" si="28"/>
        <v>800</v>
      </c>
      <c r="J62" s="876"/>
      <c r="K62" s="876">
        <f>I62+J62</f>
        <v>800</v>
      </c>
      <c r="L62" s="876">
        <v>2</v>
      </c>
      <c r="M62" s="876">
        <f>K62+L62</f>
        <v>802</v>
      </c>
      <c r="N62" s="1608">
        <v>802</v>
      </c>
      <c r="O62" s="1468">
        <f t="shared" si="30"/>
        <v>1</v>
      </c>
      <c r="P62" s="876">
        <v>802</v>
      </c>
      <c r="Q62" s="881">
        <v>0</v>
      </c>
      <c r="R62" s="882">
        <v>0</v>
      </c>
      <c r="S62" s="894"/>
      <c r="T62" s="895"/>
      <c r="U62" s="880">
        <f t="shared" si="3"/>
        <v>802</v>
      </c>
      <c r="V62" s="899"/>
      <c r="AC62" s="513"/>
    </row>
    <row r="63" spans="1:29" s="485" customFormat="1" ht="16.899999999999999" customHeight="1">
      <c r="A63" s="1792"/>
      <c r="B63" s="1464" t="s">
        <v>54</v>
      </c>
      <c r="C63" s="881">
        <v>0</v>
      </c>
      <c r="D63" s="881">
        <v>643</v>
      </c>
      <c r="E63" s="881">
        <f>C63+D63</f>
        <v>643</v>
      </c>
      <c r="F63" s="881"/>
      <c r="G63" s="876">
        <f t="shared" si="29"/>
        <v>643</v>
      </c>
      <c r="H63" s="876"/>
      <c r="I63" s="876">
        <f t="shared" si="28"/>
        <v>643</v>
      </c>
      <c r="J63" s="876"/>
      <c r="K63" s="876">
        <f>I63+J63</f>
        <v>643</v>
      </c>
      <c r="L63" s="876"/>
      <c r="M63" s="876">
        <f>K63+L63</f>
        <v>643</v>
      </c>
      <c r="N63" s="1608">
        <v>456</v>
      </c>
      <c r="O63" s="1468">
        <f t="shared" si="30"/>
        <v>0.70917573872472783</v>
      </c>
      <c r="P63" s="876">
        <f t="shared" si="31"/>
        <v>643</v>
      </c>
      <c r="Q63" s="881">
        <v>0</v>
      </c>
      <c r="R63" s="882">
        <v>0</v>
      </c>
      <c r="S63" s="894"/>
      <c r="T63" s="895"/>
      <c r="U63" s="880">
        <f t="shared" si="3"/>
        <v>643</v>
      </c>
      <c r="V63" s="899"/>
      <c r="AC63" s="513"/>
    </row>
    <row r="64" spans="1:29" s="485" customFormat="1" ht="16.899999999999999" customHeight="1">
      <c r="A64" s="1792"/>
      <c r="B64" s="1464" t="s">
        <v>364</v>
      </c>
      <c r="C64" s="881">
        <v>0</v>
      </c>
      <c r="D64" s="881">
        <v>0</v>
      </c>
      <c r="E64" s="881">
        <f>C64+D64</f>
        <v>0</v>
      </c>
      <c r="F64" s="881"/>
      <c r="G64" s="876">
        <f t="shared" si="29"/>
        <v>0</v>
      </c>
      <c r="H64" s="876"/>
      <c r="I64" s="876">
        <f t="shared" si="28"/>
        <v>0</v>
      </c>
      <c r="J64" s="876"/>
      <c r="K64" s="876">
        <f>I64+J64</f>
        <v>0</v>
      </c>
      <c r="L64" s="876"/>
      <c r="M64" s="876">
        <f>K64+L64</f>
        <v>0</v>
      </c>
      <c r="N64" s="876"/>
      <c r="O64" s="1468"/>
      <c r="P64" s="876">
        <f t="shared" si="31"/>
        <v>0</v>
      </c>
      <c r="Q64" s="881">
        <v>0</v>
      </c>
      <c r="R64" s="882">
        <v>0</v>
      </c>
      <c r="S64" s="894"/>
      <c r="T64" s="895"/>
      <c r="U64" s="880">
        <f t="shared" si="3"/>
        <v>0</v>
      </c>
      <c r="V64" s="899"/>
      <c r="AC64" s="513"/>
    </row>
    <row r="65" spans="1:29" s="486" customFormat="1" ht="16.899999999999999" customHeight="1">
      <c r="A65" s="1792"/>
      <c r="B65" s="1465" t="s">
        <v>365</v>
      </c>
      <c r="C65" s="883">
        <f t="shared" ref="C65:R65" si="33">SUM(C62:C64)</f>
        <v>0</v>
      </c>
      <c r="D65" s="883">
        <f t="shared" si="33"/>
        <v>2243</v>
      </c>
      <c r="E65" s="883">
        <f t="shared" si="33"/>
        <v>2243</v>
      </c>
      <c r="F65" s="883">
        <f t="shared" si="33"/>
        <v>0</v>
      </c>
      <c r="G65" s="883">
        <f t="shared" si="33"/>
        <v>2243</v>
      </c>
      <c r="H65" s="883">
        <f>SUM(H62:H64)</f>
        <v>-800</v>
      </c>
      <c r="I65" s="901">
        <f t="shared" si="28"/>
        <v>1443</v>
      </c>
      <c r="J65" s="901">
        <f>SUM(J62:J64)</f>
        <v>0</v>
      </c>
      <c r="K65" s="901">
        <f>SUM(K62:K64)</f>
        <v>1443</v>
      </c>
      <c r="L65" s="901">
        <f>SUM(L62:L64)</f>
        <v>2</v>
      </c>
      <c r="M65" s="901">
        <f>SUM(M62:M64)</f>
        <v>1445</v>
      </c>
      <c r="N65" s="1609">
        <f>SUM(N62:N64)</f>
        <v>1258</v>
      </c>
      <c r="O65" s="1468">
        <f t="shared" si="30"/>
        <v>0.87058823529411766</v>
      </c>
      <c r="P65" s="901">
        <f>SUM(P62:P64)</f>
        <v>1445</v>
      </c>
      <c r="Q65" s="883">
        <f t="shared" si="33"/>
        <v>0</v>
      </c>
      <c r="R65" s="884">
        <f t="shared" si="33"/>
        <v>0</v>
      </c>
      <c r="S65" s="896"/>
      <c r="T65" s="897"/>
      <c r="U65" s="880">
        <f t="shared" si="3"/>
        <v>1445</v>
      </c>
      <c r="V65" s="900"/>
      <c r="AC65" s="513"/>
    </row>
    <row r="66" spans="1:29" s="485" customFormat="1" ht="16.899999999999999" customHeight="1" thickBot="1">
      <c r="A66" s="1792"/>
      <c r="B66" s="1466" t="s">
        <v>138</v>
      </c>
      <c r="C66" s="887"/>
      <c r="D66" s="887"/>
      <c r="E66" s="887">
        <f>C66+D66</f>
        <v>0</v>
      </c>
      <c r="F66" s="887"/>
      <c r="G66" s="1290">
        <f t="shared" si="29"/>
        <v>0</v>
      </c>
      <c r="H66" s="1290"/>
      <c r="I66" s="1290">
        <f t="shared" si="28"/>
        <v>0</v>
      </c>
      <c r="J66" s="1290"/>
      <c r="K66" s="1290">
        <f>I66+J66</f>
        <v>0</v>
      </c>
      <c r="L66" s="1290"/>
      <c r="M66" s="1290">
        <f>K66+L66</f>
        <v>0</v>
      </c>
      <c r="N66" s="1290"/>
      <c r="O66" s="1472"/>
      <c r="P66" s="1290">
        <f t="shared" si="31"/>
        <v>0</v>
      </c>
      <c r="Q66" s="888"/>
      <c r="R66" s="889"/>
      <c r="S66" s="894"/>
      <c r="T66" s="895"/>
      <c r="U66" s="880">
        <f t="shared" si="3"/>
        <v>0</v>
      </c>
      <c r="V66" s="899"/>
      <c r="AC66" s="513"/>
    </row>
    <row r="67" spans="1:29" s="486" customFormat="1" ht="16.899999999999999" customHeight="1" thickBot="1">
      <c r="A67" s="1793"/>
      <c r="B67" s="1467" t="s">
        <v>133</v>
      </c>
      <c r="C67" s="890">
        <f t="shared" ref="C67:R67" si="34">C61+C65+C66</f>
        <v>109161</v>
      </c>
      <c r="D67" s="890">
        <f t="shared" si="34"/>
        <v>564</v>
      </c>
      <c r="E67" s="890">
        <f t="shared" si="34"/>
        <v>109725</v>
      </c>
      <c r="F67" s="890">
        <f t="shared" si="34"/>
        <v>384</v>
      </c>
      <c r="G67" s="890">
        <f t="shared" si="34"/>
        <v>110109</v>
      </c>
      <c r="H67" s="890">
        <f>H61+H65+H66</f>
        <v>147</v>
      </c>
      <c r="I67" s="890">
        <f t="shared" si="28"/>
        <v>110256</v>
      </c>
      <c r="J67" s="890">
        <f>J61+J65+J66</f>
        <v>329</v>
      </c>
      <c r="K67" s="890">
        <f>K61+K65+K66</f>
        <v>110585</v>
      </c>
      <c r="L67" s="890">
        <f>L61+L65+L66</f>
        <v>549</v>
      </c>
      <c r="M67" s="890">
        <f>M61+M65+M66</f>
        <v>111134</v>
      </c>
      <c r="N67" s="1622">
        <f>N61+N65+N66</f>
        <v>109329</v>
      </c>
      <c r="O67" s="1473">
        <f t="shared" si="30"/>
        <v>0.98375834578076915</v>
      </c>
      <c r="P67" s="890">
        <f>SUM(P61,P65,P66)</f>
        <v>111134</v>
      </c>
      <c r="Q67" s="890">
        <f t="shared" si="34"/>
        <v>0</v>
      </c>
      <c r="R67" s="891">
        <f t="shared" si="34"/>
        <v>0</v>
      </c>
      <c r="S67" s="896"/>
      <c r="T67" s="897"/>
      <c r="U67" s="880">
        <f t="shared" si="3"/>
        <v>111134</v>
      </c>
      <c r="V67" s="900"/>
      <c r="AC67" s="513"/>
    </row>
    <row r="68" spans="1:29" s="509" customFormat="1" ht="24" customHeight="1" thickBot="1">
      <c r="A68" s="1478" t="s">
        <v>262</v>
      </c>
      <c r="B68" s="1814" t="s">
        <v>480</v>
      </c>
      <c r="C68" s="1812"/>
      <c r="D68" s="1812"/>
      <c r="E68" s="1812"/>
      <c r="F68" s="1812"/>
      <c r="G68" s="1812"/>
      <c r="H68" s="1812"/>
      <c r="I68" s="1812"/>
      <c r="J68" s="1812"/>
      <c r="K68" s="1812"/>
      <c r="L68" s="1812"/>
      <c r="M68" s="1812"/>
      <c r="N68" s="1812"/>
      <c r="O68" s="1812"/>
      <c r="P68" s="1812"/>
      <c r="Q68" s="1812"/>
      <c r="R68" s="1813"/>
      <c r="S68" s="653"/>
      <c r="T68" s="654"/>
      <c r="U68" s="657"/>
      <c r="AC68" s="510"/>
    </row>
    <row r="69" spans="1:29" s="485" customFormat="1" ht="16.899999999999999" customHeight="1">
      <c r="A69" s="1791"/>
      <c r="B69" s="1463" t="s">
        <v>40</v>
      </c>
      <c r="C69" s="876">
        <v>67756</v>
      </c>
      <c r="D69" s="876">
        <f>395+240</f>
        <v>635</v>
      </c>
      <c r="E69" s="876">
        <f>C69+D69</f>
        <v>68391</v>
      </c>
      <c r="F69" s="876">
        <f>233+144</f>
        <v>377</v>
      </c>
      <c r="G69" s="876">
        <f>E69+F69</f>
        <v>68768</v>
      </c>
      <c r="H69" s="876">
        <v>152</v>
      </c>
      <c r="I69" s="876">
        <f t="shared" ref="I69:I80" si="35">G69+H69</f>
        <v>68920</v>
      </c>
      <c r="J69" s="876">
        <f>229+74</f>
        <v>303</v>
      </c>
      <c r="K69" s="876">
        <f>I69+J69</f>
        <v>69223</v>
      </c>
      <c r="L69" s="876">
        <f>74+390</f>
        <v>464</v>
      </c>
      <c r="M69" s="876">
        <f>K69+L69</f>
        <v>69687</v>
      </c>
      <c r="N69" s="1608">
        <v>67526</v>
      </c>
      <c r="O69" s="1468">
        <f>N69/M69</f>
        <v>0.96898991203524332</v>
      </c>
      <c r="P69" s="876">
        <v>69687</v>
      </c>
      <c r="Q69" s="876">
        <v>0</v>
      </c>
      <c r="R69" s="877">
        <v>0</v>
      </c>
      <c r="S69" s="894"/>
      <c r="T69" s="895"/>
      <c r="U69" s="880">
        <f t="shared" ref="U69:U132" si="36">P69+Q69+R69</f>
        <v>69687</v>
      </c>
      <c r="V69" s="899"/>
      <c r="AC69" s="513"/>
    </row>
    <row r="70" spans="1:29" s="485" customFormat="1" ht="30.95" customHeight="1">
      <c r="A70" s="1792"/>
      <c r="B70" s="1464" t="s">
        <v>303</v>
      </c>
      <c r="C70" s="881">
        <v>18335</v>
      </c>
      <c r="D70" s="881">
        <f>107+32</f>
        <v>139</v>
      </c>
      <c r="E70" s="876">
        <f>C70+D70</f>
        <v>18474</v>
      </c>
      <c r="F70" s="876">
        <f>63+20</f>
        <v>83</v>
      </c>
      <c r="G70" s="876">
        <f t="shared" ref="G70:G79" si="37">E70+F70</f>
        <v>18557</v>
      </c>
      <c r="H70" s="876">
        <v>41</v>
      </c>
      <c r="I70" s="876">
        <f t="shared" si="35"/>
        <v>18598</v>
      </c>
      <c r="J70" s="876">
        <f>30+20</f>
        <v>50</v>
      </c>
      <c r="K70" s="876">
        <f>I70+J70</f>
        <v>18648</v>
      </c>
      <c r="L70" s="876">
        <f>20+57</f>
        <v>77</v>
      </c>
      <c r="M70" s="876">
        <f>K70+L70</f>
        <v>18725</v>
      </c>
      <c r="N70" s="1608">
        <v>18412</v>
      </c>
      <c r="O70" s="1468">
        <f t="shared" ref="O70:O80" si="38">N70/M70</f>
        <v>0.98328437917222966</v>
      </c>
      <c r="P70" s="876">
        <v>18725</v>
      </c>
      <c r="Q70" s="881">
        <v>0</v>
      </c>
      <c r="R70" s="882">
        <v>0</v>
      </c>
      <c r="S70" s="894"/>
      <c r="T70" s="895"/>
      <c r="U70" s="880">
        <f t="shared" si="36"/>
        <v>18725</v>
      </c>
      <c r="V70" s="899"/>
      <c r="AC70" s="513"/>
    </row>
    <row r="71" spans="1:29" s="485" customFormat="1" ht="16.899999999999999" customHeight="1">
      <c r="A71" s="1792"/>
      <c r="B71" s="1464" t="s">
        <v>132</v>
      </c>
      <c r="C71" s="881">
        <v>9100</v>
      </c>
      <c r="D71" s="881">
        <f>381-741</f>
        <v>-360</v>
      </c>
      <c r="E71" s="876">
        <f>C71+D71</f>
        <v>8740</v>
      </c>
      <c r="F71" s="876"/>
      <c r="G71" s="876">
        <f t="shared" si="37"/>
        <v>8740</v>
      </c>
      <c r="H71" s="876"/>
      <c r="I71" s="876">
        <f t="shared" si="35"/>
        <v>8740</v>
      </c>
      <c r="J71" s="876"/>
      <c r="K71" s="876">
        <f>I71+J71</f>
        <v>8740</v>
      </c>
      <c r="L71" s="876">
        <f>77+400</f>
        <v>477</v>
      </c>
      <c r="M71" s="876">
        <f>K71+L71</f>
        <v>9217</v>
      </c>
      <c r="N71" s="1608">
        <v>8781</v>
      </c>
      <c r="O71" s="1468">
        <f t="shared" si="38"/>
        <v>0.95269610502332647</v>
      </c>
      <c r="P71" s="876">
        <v>9217</v>
      </c>
      <c r="Q71" s="881">
        <v>0</v>
      </c>
      <c r="R71" s="882">
        <v>0</v>
      </c>
      <c r="S71" s="894"/>
      <c r="T71" s="895"/>
      <c r="U71" s="880">
        <f t="shared" si="36"/>
        <v>9217</v>
      </c>
      <c r="V71" s="899"/>
      <c r="AC71" s="513"/>
    </row>
    <row r="72" spans="1:29" s="485" customFormat="1" ht="16.899999999999999" customHeight="1">
      <c r="A72" s="1792"/>
      <c r="B72" s="1464" t="s">
        <v>42</v>
      </c>
      <c r="C72" s="881">
        <v>0</v>
      </c>
      <c r="D72" s="881"/>
      <c r="E72" s="876">
        <f>C72+D72</f>
        <v>0</v>
      </c>
      <c r="F72" s="876"/>
      <c r="G72" s="876">
        <f t="shared" si="37"/>
        <v>0</v>
      </c>
      <c r="H72" s="876"/>
      <c r="I72" s="876">
        <f t="shared" si="35"/>
        <v>0</v>
      </c>
      <c r="J72" s="876"/>
      <c r="K72" s="876">
        <f>I72+J72</f>
        <v>0</v>
      </c>
      <c r="L72" s="876"/>
      <c r="M72" s="876">
        <f>K72+L72</f>
        <v>0</v>
      </c>
      <c r="N72" s="876"/>
      <c r="O72" s="1468"/>
      <c r="P72" s="876">
        <f t="shared" ref="P72:P79" si="39">K72</f>
        <v>0</v>
      </c>
      <c r="Q72" s="881">
        <v>0</v>
      </c>
      <c r="R72" s="882">
        <v>0</v>
      </c>
      <c r="S72" s="894"/>
      <c r="T72" s="895"/>
      <c r="U72" s="880">
        <f t="shared" si="36"/>
        <v>0</v>
      </c>
      <c r="V72" s="899"/>
      <c r="AC72" s="513"/>
    </row>
    <row r="73" spans="1:29" s="485" customFormat="1" ht="16.899999999999999" customHeight="1">
      <c r="A73" s="1792"/>
      <c r="B73" s="1464" t="s">
        <v>361</v>
      </c>
      <c r="C73" s="881">
        <v>1000</v>
      </c>
      <c r="D73" s="881">
        <v>-1000</v>
      </c>
      <c r="E73" s="876">
        <f>C73+D73</f>
        <v>0</v>
      </c>
      <c r="F73" s="876"/>
      <c r="G73" s="876">
        <f t="shared" si="37"/>
        <v>0</v>
      </c>
      <c r="H73" s="876"/>
      <c r="I73" s="876">
        <f t="shared" si="35"/>
        <v>0</v>
      </c>
      <c r="J73" s="876"/>
      <c r="K73" s="876">
        <f>I73+J73</f>
        <v>0</v>
      </c>
      <c r="L73" s="876"/>
      <c r="M73" s="876">
        <f>K73+L73</f>
        <v>0</v>
      </c>
      <c r="N73" s="876"/>
      <c r="O73" s="1468"/>
      <c r="P73" s="876">
        <f t="shared" si="39"/>
        <v>0</v>
      </c>
      <c r="Q73" s="881">
        <v>0</v>
      </c>
      <c r="R73" s="882">
        <v>0</v>
      </c>
      <c r="S73" s="894"/>
      <c r="T73" s="895"/>
      <c r="U73" s="880">
        <f t="shared" si="36"/>
        <v>0</v>
      </c>
      <c r="V73" s="899"/>
      <c r="AC73" s="513"/>
    </row>
    <row r="74" spans="1:29" s="486" customFormat="1" ht="16.899999999999999" customHeight="1">
      <c r="A74" s="1792"/>
      <c r="B74" s="1465" t="s">
        <v>362</v>
      </c>
      <c r="C74" s="883">
        <f t="shared" ref="C74:R74" si="40">SUM(C69:C73)</f>
        <v>96191</v>
      </c>
      <c r="D74" s="883">
        <f t="shared" si="40"/>
        <v>-586</v>
      </c>
      <c r="E74" s="883">
        <f t="shared" si="40"/>
        <v>95605</v>
      </c>
      <c r="F74" s="883">
        <f t="shared" si="40"/>
        <v>460</v>
      </c>
      <c r="G74" s="883">
        <f t="shared" si="40"/>
        <v>96065</v>
      </c>
      <c r="H74" s="883">
        <f>SUM(H69:H73)</f>
        <v>193</v>
      </c>
      <c r="I74" s="901">
        <f t="shared" si="35"/>
        <v>96258</v>
      </c>
      <c r="J74" s="901">
        <f>SUM(J69:J73)</f>
        <v>353</v>
      </c>
      <c r="K74" s="901">
        <f>SUM(K69:K73)</f>
        <v>96611</v>
      </c>
      <c r="L74" s="901">
        <f>SUM(L69:L73)</f>
        <v>1018</v>
      </c>
      <c r="M74" s="901">
        <f>SUM(M69:M73)</f>
        <v>97629</v>
      </c>
      <c r="N74" s="901">
        <f>SUM(N69:N73)</f>
        <v>94719</v>
      </c>
      <c r="O74" s="1468">
        <f t="shared" si="38"/>
        <v>0.97019328273361394</v>
      </c>
      <c r="P74" s="901">
        <f>SUM(P69:P73)</f>
        <v>97629</v>
      </c>
      <c r="Q74" s="883">
        <f t="shared" si="40"/>
        <v>0</v>
      </c>
      <c r="R74" s="884">
        <f t="shared" si="40"/>
        <v>0</v>
      </c>
      <c r="S74" s="896"/>
      <c r="T74" s="897"/>
      <c r="U74" s="880">
        <f t="shared" si="36"/>
        <v>97629</v>
      </c>
      <c r="V74" s="900"/>
      <c r="AC74" s="513"/>
    </row>
    <row r="75" spans="1:29" s="485" customFormat="1" ht="16.899999999999999" customHeight="1">
      <c r="A75" s="1792"/>
      <c r="B75" s="1464" t="s">
        <v>363</v>
      </c>
      <c r="C75" s="881">
        <v>0</v>
      </c>
      <c r="D75" s="881">
        <f>850+77</f>
        <v>927</v>
      </c>
      <c r="E75" s="881">
        <f>C75+D75</f>
        <v>927</v>
      </c>
      <c r="F75" s="881"/>
      <c r="G75" s="876">
        <f t="shared" si="37"/>
        <v>927</v>
      </c>
      <c r="H75" s="876"/>
      <c r="I75" s="876">
        <f t="shared" si="35"/>
        <v>927</v>
      </c>
      <c r="J75" s="876"/>
      <c r="K75" s="876">
        <f>I75+J75</f>
        <v>927</v>
      </c>
      <c r="L75" s="876"/>
      <c r="M75" s="876">
        <f>K75+L75</f>
        <v>927</v>
      </c>
      <c r="N75" s="1608">
        <v>395</v>
      </c>
      <c r="O75" s="1468">
        <f t="shared" si="38"/>
        <v>0.4261057173678533</v>
      </c>
      <c r="P75" s="876">
        <f t="shared" si="39"/>
        <v>927</v>
      </c>
      <c r="Q75" s="881">
        <v>0</v>
      </c>
      <c r="R75" s="882">
        <v>0</v>
      </c>
      <c r="S75" s="894"/>
      <c r="T75" s="895"/>
      <c r="U75" s="880">
        <f t="shared" si="36"/>
        <v>927</v>
      </c>
      <c r="V75" s="899"/>
      <c r="AC75" s="513"/>
    </row>
    <row r="76" spans="1:29" s="485" customFormat="1" ht="16.899999999999999" customHeight="1">
      <c r="A76" s="1792"/>
      <c r="B76" s="1464" t="s">
        <v>54</v>
      </c>
      <c r="C76" s="881">
        <v>0</v>
      </c>
      <c r="D76" s="881">
        <v>400</v>
      </c>
      <c r="E76" s="881">
        <f>C76+D76</f>
        <v>400</v>
      </c>
      <c r="F76" s="881"/>
      <c r="G76" s="876">
        <f t="shared" si="37"/>
        <v>400</v>
      </c>
      <c r="H76" s="876"/>
      <c r="I76" s="876">
        <f t="shared" si="35"/>
        <v>400</v>
      </c>
      <c r="J76" s="876"/>
      <c r="K76" s="876">
        <f>I76+J76</f>
        <v>400</v>
      </c>
      <c r="L76" s="876">
        <v>-400</v>
      </c>
      <c r="M76" s="876">
        <f>K76+L76</f>
        <v>0</v>
      </c>
      <c r="N76" s="876"/>
      <c r="O76" s="1468"/>
      <c r="P76" s="876">
        <v>0</v>
      </c>
      <c r="Q76" s="881">
        <v>0</v>
      </c>
      <c r="R76" s="882">
        <v>0</v>
      </c>
      <c r="S76" s="894"/>
      <c r="T76" s="895"/>
      <c r="U76" s="880">
        <f t="shared" si="36"/>
        <v>0</v>
      </c>
      <c r="V76" s="899"/>
      <c r="AC76" s="513"/>
    </row>
    <row r="77" spans="1:29" s="485" customFormat="1" ht="16.899999999999999" customHeight="1">
      <c r="A77" s="1792"/>
      <c r="B77" s="1464" t="s">
        <v>364</v>
      </c>
      <c r="C77" s="881">
        <v>0</v>
      </c>
      <c r="D77" s="881"/>
      <c r="E77" s="881">
        <f>C77+D77</f>
        <v>0</v>
      </c>
      <c r="F77" s="881"/>
      <c r="G77" s="876">
        <f t="shared" si="37"/>
        <v>0</v>
      </c>
      <c r="H77" s="876"/>
      <c r="I77" s="876">
        <f t="shared" si="35"/>
        <v>0</v>
      </c>
      <c r="J77" s="876"/>
      <c r="K77" s="876">
        <f>I77+J77</f>
        <v>0</v>
      </c>
      <c r="L77" s="876"/>
      <c r="M77" s="876">
        <f>K77+L77</f>
        <v>0</v>
      </c>
      <c r="N77" s="876"/>
      <c r="O77" s="1468"/>
      <c r="P77" s="876">
        <f t="shared" si="39"/>
        <v>0</v>
      </c>
      <c r="Q77" s="881">
        <v>0</v>
      </c>
      <c r="R77" s="882">
        <v>0</v>
      </c>
      <c r="S77" s="894"/>
      <c r="T77" s="895"/>
      <c r="U77" s="880">
        <f t="shared" si="36"/>
        <v>0</v>
      </c>
      <c r="V77" s="899"/>
      <c r="AC77" s="513"/>
    </row>
    <row r="78" spans="1:29" s="486" customFormat="1" ht="16.899999999999999" customHeight="1">
      <c r="A78" s="1792"/>
      <c r="B78" s="1465" t="s">
        <v>365</v>
      </c>
      <c r="C78" s="883">
        <f t="shared" ref="C78:R78" si="41">SUM(C75:C77)</f>
        <v>0</v>
      </c>
      <c r="D78" s="883">
        <f t="shared" si="41"/>
        <v>1327</v>
      </c>
      <c r="E78" s="883">
        <f t="shared" si="41"/>
        <v>1327</v>
      </c>
      <c r="F78" s="883">
        <f t="shared" si="41"/>
        <v>0</v>
      </c>
      <c r="G78" s="883">
        <f t="shared" si="41"/>
        <v>1327</v>
      </c>
      <c r="H78" s="883">
        <f>SUM(H75:H77)</f>
        <v>0</v>
      </c>
      <c r="I78" s="901">
        <f t="shared" si="35"/>
        <v>1327</v>
      </c>
      <c r="J78" s="901">
        <f>SUM(J75:J77)</f>
        <v>0</v>
      </c>
      <c r="K78" s="901">
        <f>SUM(K75:K77)</f>
        <v>1327</v>
      </c>
      <c r="L78" s="901">
        <f>SUM(L75:L77)</f>
        <v>-400</v>
      </c>
      <c r="M78" s="901">
        <f>SUM(M75:M77)</f>
        <v>927</v>
      </c>
      <c r="N78" s="901">
        <f>SUM(N75:N77)</f>
        <v>395</v>
      </c>
      <c r="O78" s="1468">
        <f t="shared" si="38"/>
        <v>0.4261057173678533</v>
      </c>
      <c r="P78" s="901">
        <f>SUM(P75:P77)</f>
        <v>927</v>
      </c>
      <c r="Q78" s="883">
        <f t="shared" si="41"/>
        <v>0</v>
      </c>
      <c r="R78" s="884">
        <f t="shared" si="41"/>
        <v>0</v>
      </c>
      <c r="S78" s="896"/>
      <c r="T78" s="897"/>
      <c r="U78" s="880">
        <f t="shared" si="36"/>
        <v>927</v>
      </c>
      <c r="V78" s="900"/>
      <c r="AC78" s="513"/>
    </row>
    <row r="79" spans="1:29" s="485" customFormat="1" ht="16.899999999999999" customHeight="1" thickBot="1">
      <c r="A79" s="1792"/>
      <c r="B79" s="1466" t="s">
        <v>138</v>
      </c>
      <c r="C79" s="887"/>
      <c r="D79" s="887"/>
      <c r="E79" s="887">
        <f>C79+D79</f>
        <v>0</v>
      </c>
      <c r="F79" s="887"/>
      <c r="G79" s="1290">
        <f t="shared" si="37"/>
        <v>0</v>
      </c>
      <c r="H79" s="1290"/>
      <c r="I79" s="1290">
        <f t="shared" si="35"/>
        <v>0</v>
      </c>
      <c r="J79" s="1290"/>
      <c r="K79" s="1290">
        <f>I79+J79</f>
        <v>0</v>
      </c>
      <c r="L79" s="1290"/>
      <c r="M79" s="1290">
        <f>K79+L79</f>
        <v>0</v>
      </c>
      <c r="N79" s="1290"/>
      <c r="O79" s="1469"/>
      <c r="P79" s="1290">
        <f t="shared" si="39"/>
        <v>0</v>
      </c>
      <c r="Q79" s="888"/>
      <c r="R79" s="889"/>
      <c r="S79" s="894"/>
      <c r="T79" s="895"/>
      <c r="U79" s="880">
        <f t="shared" si="36"/>
        <v>0</v>
      </c>
      <c r="V79" s="899"/>
      <c r="AC79" s="513"/>
    </row>
    <row r="80" spans="1:29" s="486" customFormat="1" ht="16.899999999999999" customHeight="1" thickBot="1">
      <c r="A80" s="1793"/>
      <c r="B80" s="1479" t="s">
        <v>133</v>
      </c>
      <c r="C80" s="1475">
        <f t="shared" ref="C80:T80" si="42">C74+C78+C79</f>
        <v>96191</v>
      </c>
      <c r="D80" s="1475">
        <f t="shared" si="42"/>
        <v>741</v>
      </c>
      <c r="E80" s="1475">
        <f t="shared" si="42"/>
        <v>96932</v>
      </c>
      <c r="F80" s="1475">
        <f t="shared" si="42"/>
        <v>460</v>
      </c>
      <c r="G80" s="1475">
        <f t="shared" si="42"/>
        <v>97392</v>
      </c>
      <c r="H80" s="1475">
        <f>H74+H78+H79</f>
        <v>193</v>
      </c>
      <c r="I80" s="1475">
        <f t="shared" si="35"/>
        <v>97585</v>
      </c>
      <c r="J80" s="1475">
        <f>J74+J78+J79</f>
        <v>353</v>
      </c>
      <c r="K80" s="1475">
        <f>K74+K78+K79</f>
        <v>97938</v>
      </c>
      <c r="L80" s="1475">
        <f>L74+L78+L79</f>
        <v>618</v>
      </c>
      <c r="M80" s="1475">
        <f>M74+M78+M79</f>
        <v>98556</v>
      </c>
      <c r="N80" s="1621">
        <f>N74+N78+N79</f>
        <v>95114</v>
      </c>
      <c r="O80" s="1472">
        <f t="shared" si="38"/>
        <v>0.96507569300702134</v>
      </c>
      <c r="P80" s="1475">
        <f>SUM(P79,P74,P78)</f>
        <v>98556</v>
      </c>
      <c r="Q80" s="1475">
        <f t="shared" si="42"/>
        <v>0</v>
      </c>
      <c r="R80" s="1477">
        <f t="shared" si="42"/>
        <v>0</v>
      </c>
      <c r="S80" s="898">
        <f t="shared" si="42"/>
        <v>0</v>
      </c>
      <c r="T80" s="883">
        <f t="shared" si="42"/>
        <v>0</v>
      </c>
      <c r="U80" s="880">
        <f t="shared" si="36"/>
        <v>98556</v>
      </c>
      <c r="V80" s="900"/>
      <c r="AC80" s="513"/>
    </row>
    <row r="81" spans="1:29" s="509" customFormat="1" ht="24" customHeight="1" thickBot="1">
      <c r="A81" s="660" t="s">
        <v>263</v>
      </c>
      <c r="B81" s="1811" t="s">
        <v>448</v>
      </c>
      <c r="C81" s="1812"/>
      <c r="D81" s="1812"/>
      <c r="E81" s="1812"/>
      <c r="F81" s="1812"/>
      <c r="G81" s="1812"/>
      <c r="H81" s="1812"/>
      <c r="I81" s="1812"/>
      <c r="J81" s="1812"/>
      <c r="K81" s="1812"/>
      <c r="L81" s="1812"/>
      <c r="M81" s="1812"/>
      <c r="N81" s="1812"/>
      <c r="O81" s="1812"/>
      <c r="P81" s="1812"/>
      <c r="Q81" s="1812"/>
      <c r="R81" s="1813"/>
      <c r="S81" s="653"/>
      <c r="T81" s="654"/>
      <c r="U81" s="657"/>
      <c r="AC81" s="510"/>
    </row>
    <row r="82" spans="1:29" s="485" customFormat="1" ht="16.899999999999999" customHeight="1">
      <c r="A82" s="1791"/>
      <c r="B82" s="516" t="s">
        <v>40</v>
      </c>
      <c r="C82" s="876">
        <f t="shared" ref="C82:D86" si="43">C95+C108+C121+C134+C147+C160</f>
        <v>171701</v>
      </c>
      <c r="D82" s="876">
        <f t="shared" si="43"/>
        <v>9954</v>
      </c>
      <c r="E82" s="876">
        <f>C82+D82</f>
        <v>181655</v>
      </c>
      <c r="F82" s="876">
        <f>F95+F108+F121+F134+F147+F160</f>
        <v>9897</v>
      </c>
      <c r="G82" s="876">
        <f>E82+F82</f>
        <v>191552</v>
      </c>
      <c r="H82" s="876">
        <f>H108+H121+H134+H160+H95+H147</f>
        <v>11141</v>
      </c>
      <c r="I82" s="876">
        <f>I108+I121+I134+I160+I95+I147</f>
        <v>202693</v>
      </c>
      <c r="J82" s="876">
        <f>J95+J108+J121+J134+J147+J160</f>
        <v>5883</v>
      </c>
      <c r="K82" s="876">
        <f>I82+J82</f>
        <v>208576</v>
      </c>
      <c r="L82" s="876">
        <f t="shared" ref="L82:L92" si="44">L95+L108+L121+L134+L147+L160</f>
        <v>15179</v>
      </c>
      <c r="M82" s="876">
        <f>K82+L82</f>
        <v>223755</v>
      </c>
      <c r="N82" s="876">
        <f t="shared" ref="N82:N86" si="45">N95+N108+N121+N134+N147+N160</f>
        <v>209838</v>
      </c>
      <c r="O82" s="1468">
        <f>N82/M82</f>
        <v>0.9378025072065429</v>
      </c>
      <c r="P82" s="876">
        <f>P108+P121+P134+P160+P95+P147</f>
        <v>221939</v>
      </c>
      <c r="Q82" s="876">
        <f>Q95+Q108+Q121+Q134+Q147+Q160</f>
        <v>1816</v>
      </c>
      <c r="R82" s="877">
        <v>0</v>
      </c>
      <c r="S82" s="894"/>
      <c r="T82" s="895"/>
      <c r="U82" s="880">
        <f t="shared" si="36"/>
        <v>223755</v>
      </c>
      <c r="AC82" s="513"/>
    </row>
    <row r="83" spans="1:29" s="485" customFormat="1" ht="30.95" customHeight="1">
      <c r="A83" s="1792"/>
      <c r="B83" s="517" t="s">
        <v>303</v>
      </c>
      <c r="C83" s="876">
        <f t="shared" si="43"/>
        <v>52020</v>
      </c>
      <c r="D83" s="876">
        <f t="shared" si="43"/>
        <v>1649</v>
      </c>
      <c r="E83" s="876">
        <f>C83+D83</f>
        <v>53669</v>
      </c>
      <c r="F83" s="876">
        <f>F96+F109+F122+F148+F161</f>
        <v>1512</v>
      </c>
      <c r="G83" s="876">
        <f t="shared" ref="G83:G92" si="46">E83+F83</f>
        <v>55181</v>
      </c>
      <c r="H83" s="876">
        <f t="shared" ref="H83:P93" si="47">H109+H122+H135+H161+H96+H148</f>
        <v>1616</v>
      </c>
      <c r="I83" s="876">
        <f t="shared" si="47"/>
        <v>56797</v>
      </c>
      <c r="J83" s="876">
        <f>J96+J109+J122+J135+J148+J161</f>
        <v>844</v>
      </c>
      <c r="K83" s="876">
        <f>I83+J83</f>
        <v>57641</v>
      </c>
      <c r="L83" s="876">
        <f t="shared" si="44"/>
        <v>2098</v>
      </c>
      <c r="M83" s="876">
        <f>K83+L83</f>
        <v>59739</v>
      </c>
      <c r="N83" s="876">
        <f t="shared" si="45"/>
        <v>57234</v>
      </c>
      <c r="O83" s="1468">
        <f t="shared" ref="O83:O93" si="48">N83/M83</f>
        <v>0.95806759403404806</v>
      </c>
      <c r="P83" s="876">
        <f>P109+P12+P135+P161+P96+P148</f>
        <v>49553</v>
      </c>
      <c r="Q83" s="876">
        <f>Q96+Q109+Q122+Q135+Q148+Q161</f>
        <v>533</v>
      </c>
      <c r="R83" s="882">
        <v>0</v>
      </c>
      <c r="S83" s="894"/>
      <c r="T83" s="895"/>
      <c r="U83" s="880">
        <f>P83+Q83+R83</f>
        <v>50086</v>
      </c>
      <c r="AC83" s="513"/>
    </row>
    <row r="84" spans="1:29" s="485" customFormat="1" ht="16.899999999999999" customHeight="1">
      <c r="A84" s="1792"/>
      <c r="B84" s="517" t="s">
        <v>132</v>
      </c>
      <c r="C84" s="876">
        <f t="shared" si="43"/>
        <v>291040</v>
      </c>
      <c r="D84" s="876">
        <f t="shared" si="43"/>
        <v>-175</v>
      </c>
      <c r="E84" s="876">
        <f>C84+D84</f>
        <v>290865</v>
      </c>
      <c r="F84" s="876">
        <f>F97+F110+F123+F136+F149+F162</f>
        <v>1995</v>
      </c>
      <c r="G84" s="876">
        <f t="shared" si="46"/>
        <v>292860</v>
      </c>
      <c r="H84" s="876">
        <f t="shared" si="47"/>
        <v>1200</v>
      </c>
      <c r="I84" s="876">
        <f t="shared" si="47"/>
        <v>294060</v>
      </c>
      <c r="J84" s="876">
        <f>J97+J110+J123+J136+J149+J162</f>
        <v>3000</v>
      </c>
      <c r="K84" s="876">
        <f>I84+J84</f>
        <v>297060</v>
      </c>
      <c r="L84" s="876">
        <f t="shared" si="44"/>
        <v>12528</v>
      </c>
      <c r="M84" s="876">
        <f>K84+L84</f>
        <v>309588</v>
      </c>
      <c r="N84" s="876">
        <f>N97+N110+N123+N136+N149+N162</f>
        <v>291323</v>
      </c>
      <c r="O84" s="1468">
        <f t="shared" si="48"/>
        <v>0.94100223522875559</v>
      </c>
      <c r="P84" s="876">
        <f>P110+P123+P136+P162+P97+P149</f>
        <v>302910</v>
      </c>
      <c r="Q84" s="876">
        <f>Q97+Q110+Q123+Q136+Q149+Q162</f>
        <v>6678</v>
      </c>
      <c r="R84" s="882">
        <v>0</v>
      </c>
      <c r="S84" s="894"/>
      <c r="T84" s="895"/>
      <c r="U84" s="880">
        <f t="shared" si="36"/>
        <v>309588</v>
      </c>
      <c r="AC84" s="513"/>
    </row>
    <row r="85" spans="1:29" s="485" customFormat="1" ht="16.899999999999999" customHeight="1">
      <c r="A85" s="1792"/>
      <c r="B85" s="517" t="s">
        <v>42</v>
      </c>
      <c r="C85" s="876">
        <f t="shared" si="43"/>
        <v>0</v>
      </c>
      <c r="D85" s="876">
        <f t="shared" si="43"/>
        <v>0</v>
      </c>
      <c r="E85" s="876">
        <f>C85+D85</f>
        <v>0</v>
      </c>
      <c r="F85" s="876"/>
      <c r="G85" s="876">
        <f t="shared" si="46"/>
        <v>0</v>
      </c>
      <c r="H85" s="876">
        <f t="shared" si="47"/>
        <v>0</v>
      </c>
      <c r="I85" s="876">
        <f t="shared" si="47"/>
        <v>0</v>
      </c>
      <c r="J85" s="876">
        <f>J98+J111+J124+J137+J150+J163</f>
        <v>0</v>
      </c>
      <c r="K85" s="876">
        <f>I85+J85</f>
        <v>0</v>
      </c>
      <c r="L85" s="876">
        <f t="shared" si="44"/>
        <v>0</v>
      </c>
      <c r="M85" s="876">
        <f>K85+L85</f>
        <v>0</v>
      </c>
      <c r="N85" s="876">
        <f t="shared" si="45"/>
        <v>0</v>
      </c>
      <c r="O85" s="1468"/>
      <c r="P85" s="876">
        <f t="shared" si="47"/>
        <v>0</v>
      </c>
      <c r="Q85" s="876">
        <f>Q98+Q111+Q124+Q137+Q150+Q163</f>
        <v>0</v>
      </c>
      <c r="R85" s="882">
        <v>0</v>
      </c>
      <c r="S85" s="894"/>
      <c r="T85" s="895"/>
      <c r="U85" s="880">
        <f t="shared" si="36"/>
        <v>0</v>
      </c>
      <c r="AC85" s="513"/>
    </row>
    <row r="86" spans="1:29" s="485" customFormat="1" ht="16.899999999999999" customHeight="1">
      <c r="A86" s="1792"/>
      <c r="B86" s="517" t="s">
        <v>361</v>
      </c>
      <c r="C86" s="876">
        <f t="shared" si="43"/>
        <v>19000</v>
      </c>
      <c r="D86" s="876">
        <v>-19000</v>
      </c>
      <c r="E86" s="876">
        <f>C86+D86</f>
        <v>0</v>
      </c>
      <c r="F86" s="876"/>
      <c r="G86" s="876">
        <f t="shared" si="46"/>
        <v>0</v>
      </c>
      <c r="H86" s="876">
        <f t="shared" si="47"/>
        <v>0</v>
      </c>
      <c r="I86" s="876">
        <f t="shared" si="47"/>
        <v>0</v>
      </c>
      <c r="J86" s="876">
        <f>J99+J112+J125+J138+J151+J164</f>
        <v>0</v>
      </c>
      <c r="K86" s="876">
        <f>I86+J86</f>
        <v>0</v>
      </c>
      <c r="L86" s="876">
        <f t="shared" si="44"/>
        <v>0</v>
      </c>
      <c r="M86" s="876">
        <f>K86+L86</f>
        <v>0</v>
      </c>
      <c r="N86" s="876">
        <f t="shared" si="45"/>
        <v>0</v>
      </c>
      <c r="O86" s="1468"/>
      <c r="P86" s="876">
        <f t="shared" si="47"/>
        <v>0</v>
      </c>
      <c r="Q86" s="876">
        <f>Q99+Q112+Q125+Q138+Q151+Q164</f>
        <v>0</v>
      </c>
      <c r="R86" s="882">
        <v>0</v>
      </c>
      <c r="S86" s="894"/>
      <c r="T86" s="895"/>
      <c r="U86" s="880">
        <f t="shared" si="36"/>
        <v>0</v>
      </c>
      <c r="AC86" s="513"/>
    </row>
    <row r="87" spans="1:29" s="486" customFormat="1" ht="16.899999999999999" customHeight="1">
      <c r="A87" s="1792"/>
      <c r="B87" s="518" t="s">
        <v>362</v>
      </c>
      <c r="C87" s="901">
        <f>SUM(C82:C86)</f>
        <v>533761</v>
      </c>
      <c r="D87" s="883">
        <f>SUM(D82:D86)</f>
        <v>-7572</v>
      </c>
      <c r="E87" s="883">
        <f>SUM(E82:E86)</f>
        <v>526189</v>
      </c>
      <c r="F87" s="883">
        <f>SUM(F82:F86)</f>
        <v>13404</v>
      </c>
      <c r="G87" s="883">
        <f>SUM(G82:G86)</f>
        <v>539593</v>
      </c>
      <c r="H87" s="901">
        <f t="shared" si="47"/>
        <v>13957</v>
      </c>
      <c r="I87" s="901">
        <f t="shared" si="47"/>
        <v>553550</v>
      </c>
      <c r="J87" s="901">
        <f>SUM(J82:J86)</f>
        <v>9727</v>
      </c>
      <c r="K87" s="901">
        <f>SUM(K82:K86)</f>
        <v>563277</v>
      </c>
      <c r="L87" s="901">
        <f t="shared" si="44"/>
        <v>29805</v>
      </c>
      <c r="M87" s="901">
        <f>SUM(M82:M86)</f>
        <v>593082</v>
      </c>
      <c r="N87" s="901">
        <f>SUM(N82:N86)</f>
        <v>558395</v>
      </c>
      <c r="O87" s="1468">
        <f t="shared" si="48"/>
        <v>0.94151398963381117</v>
      </c>
      <c r="P87" s="901">
        <f t="shared" si="47"/>
        <v>584055</v>
      </c>
      <c r="Q87" s="901">
        <f>SUM(Q82:Q86)</f>
        <v>9027</v>
      </c>
      <c r="R87" s="884">
        <f>SUM(R82:R86)</f>
        <v>0</v>
      </c>
      <c r="S87" s="896"/>
      <c r="T87" s="897"/>
      <c r="U87" s="880">
        <f t="shared" si="36"/>
        <v>593082</v>
      </c>
      <c r="AC87" s="513"/>
    </row>
    <row r="88" spans="1:29" s="485" customFormat="1" ht="16.899999999999999" customHeight="1">
      <c r="A88" s="1792"/>
      <c r="B88" s="517" t="s">
        <v>363</v>
      </c>
      <c r="C88" s="876">
        <f t="shared" ref="C88:D92" si="49">C101+C114+C127+C140+C153+C166</f>
        <v>0</v>
      </c>
      <c r="D88" s="876">
        <f t="shared" si="49"/>
        <v>22811</v>
      </c>
      <c r="E88" s="881">
        <f>C88+D88</f>
        <v>22811</v>
      </c>
      <c r="F88" s="876">
        <f>F153+F101+F114+F127+F140</f>
        <v>236</v>
      </c>
      <c r="G88" s="876">
        <f t="shared" si="46"/>
        <v>23047</v>
      </c>
      <c r="H88" s="876">
        <f t="shared" si="47"/>
        <v>226</v>
      </c>
      <c r="I88" s="876">
        <f t="shared" si="47"/>
        <v>23273</v>
      </c>
      <c r="J88" s="876"/>
      <c r="K88" s="876">
        <f>I88+J88</f>
        <v>23273</v>
      </c>
      <c r="L88" s="876">
        <f t="shared" si="44"/>
        <v>-5016</v>
      </c>
      <c r="M88" s="876">
        <f>K88+L88</f>
        <v>18257</v>
      </c>
      <c r="N88" s="876">
        <f t="shared" ref="N88:N90" si="50">N101+N114+N127+N140+N153+N166</f>
        <v>13370</v>
      </c>
      <c r="O88" s="1468">
        <f t="shared" si="48"/>
        <v>0.7323218491537492</v>
      </c>
      <c r="P88" s="876">
        <f t="shared" si="47"/>
        <v>17910</v>
      </c>
      <c r="Q88" s="876">
        <f>Q101+Q114+Q127+Q140+Q153+Q166</f>
        <v>347</v>
      </c>
      <c r="R88" s="882">
        <v>0</v>
      </c>
      <c r="S88" s="894"/>
      <c r="T88" s="895"/>
      <c r="U88" s="880">
        <f t="shared" si="36"/>
        <v>18257</v>
      </c>
      <c r="AC88" s="513"/>
    </row>
    <row r="89" spans="1:29" s="485" customFormat="1" ht="16.899999999999999" customHeight="1">
      <c r="A89" s="1792"/>
      <c r="B89" s="517" t="s">
        <v>54</v>
      </c>
      <c r="C89" s="876">
        <f t="shared" si="49"/>
        <v>0</v>
      </c>
      <c r="D89" s="876">
        <f t="shared" si="49"/>
        <v>12425</v>
      </c>
      <c r="E89" s="881">
        <f>C89+D89</f>
        <v>12425</v>
      </c>
      <c r="F89" s="876">
        <f>F102+F115+F141+F154+F167</f>
        <v>-216</v>
      </c>
      <c r="G89" s="876">
        <f t="shared" si="46"/>
        <v>12209</v>
      </c>
      <c r="H89" s="876">
        <f t="shared" si="47"/>
        <v>-126</v>
      </c>
      <c r="I89" s="876">
        <f t="shared" si="47"/>
        <v>12083</v>
      </c>
      <c r="J89" s="876"/>
      <c r="K89" s="876">
        <f>I89+J89</f>
        <v>12083</v>
      </c>
      <c r="L89" s="876">
        <f t="shared" si="44"/>
        <v>-428</v>
      </c>
      <c r="M89" s="876">
        <f>K89+L89</f>
        <v>11655</v>
      </c>
      <c r="N89" s="876">
        <f t="shared" si="50"/>
        <v>5017</v>
      </c>
      <c r="O89" s="1468">
        <f t="shared" si="48"/>
        <v>0.43045903045903045</v>
      </c>
      <c r="P89" s="876">
        <f t="shared" si="47"/>
        <v>7855</v>
      </c>
      <c r="Q89" s="876">
        <f>Q102+Q115+Q128+Q141+Q154+Q167</f>
        <v>3800</v>
      </c>
      <c r="R89" s="882">
        <v>0</v>
      </c>
      <c r="S89" s="894"/>
      <c r="T89" s="895"/>
      <c r="U89" s="880">
        <f t="shared" si="36"/>
        <v>11655</v>
      </c>
      <c r="AC89" s="513"/>
    </row>
    <row r="90" spans="1:29" s="485" customFormat="1" ht="16.899999999999999" customHeight="1">
      <c r="A90" s="1792"/>
      <c r="B90" s="517" t="s">
        <v>364</v>
      </c>
      <c r="C90" s="876">
        <f t="shared" si="49"/>
        <v>0</v>
      </c>
      <c r="D90" s="876">
        <f t="shared" si="49"/>
        <v>0</v>
      </c>
      <c r="E90" s="881">
        <f>C90+D90</f>
        <v>0</v>
      </c>
      <c r="F90" s="876"/>
      <c r="G90" s="876">
        <f t="shared" si="46"/>
        <v>0</v>
      </c>
      <c r="H90" s="876">
        <f t="shared" si="47"/>
        <v>0</v>
      </c>
      <c r="I90" s="876">
        <f t="shared" si="47"/>
        <v>0</v>
      </c>
      <c r="J90" s="876"/>
      <c r="K90" s="876">
        <f>I90+J90</f>
        <v>0</v>
      </c>
      <c r="L90" s="876">
        <f t="shared" si="44"/>
        <v>0</v>
      </c>
      <c r="M90" s="876">
        <f>K90+L90</f>
        <v>0</v>
      </c>
      <c r="N90" s="876">
        <f t="shared" si="50"/>
        <v>0</v>
      </c>
      <c r="O90" s="1468"/>
      <c r="P90" s="876">
        <f t="shared" si="47"/>
        <v>0</v>
      </c>
      <c r="Q90" s="876">
        <f>Q103+Q116+Q129+Q142+Q155+Q168</f>
        <v>0</v>
      </c>
      <c r="R90" s="882">
        <v>0</v>
      </c>
      <c r="S90" s="894"/>
      <c r="T90" s="895"/>
      <c r="U90" s="880">
        <f t="shared" si="36"/>
        <v>0</v>
      </c>
      <c r="AC90" s="513"/>
    </row>
    <row r="91" spans="1:29" s="486" customFormat="1" ht="16.899999999999999" customHeight="1">
      <c r="A91" s="1792"/>
      <c r="B91" s="518" t="s">
        <v>365</v>
      </c>
      <c r="C91" s="901">
        <f>SUM(C88:C90)</f>
        <v>0</v>
      </c>
      <c r="D91" s="901">
        <f>SUM(D88:D90)</f>
        <v>35236</v>
      </c>
      <c r="E91" s="883">
        <f>SUM(E88:E90)</f>
        <v>35236</v>
      </c>
      <c r="F91" s="883">
        <f>SUM(F88:F90)</f>
        <v>20</v>
      </c>
      <c r="G91" s="883">
        <f>SUM(G88:G90)</f>
        <v>35256</v>
      </c>
      <c r="H91" s="901">
        <f t="shared" si="47"/>
        <v>100</v>
      </c>
      <c r="I91" s="901">
        <f t="shared" si="47"/>
        <v>35356</v>
      </c>
      <c r="J91" s="901">
        <f>SUM(J88:J90)</f>
        <v>0</v>
      </c>
      <c r="K91" s="901">
        <f>SUM(K88:K90)</f>
        <v>35356</v>
      </c>
      <c r="L91" s="901">
        <f t="shared" si="44"/>
        <v>-5444</v>
      </c>
      <c r="M91" s="901">
        <f>SUM(M88:M90)</f>
        <v>29912</v>
      </c>
      <c r="N91" s="901">
        <f>SUM(N88:N90)</f>
        <v>18387</v>
      </c>
      <c r="O91" s="1468">
        <f t="shared" si="48"/>
        <v>0.61470312917892489</v>
      </c>
      <c r="P91" s="901">
        <f t="shared" si="47"/>
        <v>25765</v>
      </c>
      <c r="Q91" s="901">
        <f>Q104+Q117+Q130+Q143+Q156+Q169</f>
        <v>4147</v>
      </c>
      <c r="R91" s="884">
        <f>SUM(R88:R90)</f>
        <v>0</v>
      </c>
      <c r="S91" s="896"/>
      <c r="T91" s="897"/>
      <c r="U91" s="880">
        <f t="shared" si="36"/>
        <v>29912</v>
      </c>
      <c r="AC91" s="513"/>
    </row>
    <row r="92" spans="1:29" s="485" customFormat="1" ht="16.899999999999999" customHeight="1" thickBot="1">
      <c r="A92" s="1792"/>
      <c r="B92" s="658" t="s">
        <v>138</v>
      </c>
      <c r="C92" s="1290">
        <f t="shared" si="49"/>
        <v>0</v>
      </c>
      <c r="D92" s="1290">
        <f t="shared" si="49"/>
        <v>0</v>
      </c>
      <c r="E92" s="887">
        <f>C92+D92</f>
        <v>0</v>
      </c>
      <c r="F92" s="887"/>
      <c r="G92" s="1290">
        <f t="shared" si="46"/>
        <v>0</v>
      </c>
      <c r="H92" s="1290">
        <f t="shared" si="47"/>
        <v>0</v>
      </c>
      <c r="I92" s="1290">
        <f t="shared" si="47"/>
        <v>0</v>
      </c>
      <c r="J92" s="1290"/>
      <c r="K92" s="1290">
        <f>I92+J92</f>
        <v>0</v>
      </c>
      <c r="L92" s="876">
        <f t="shared" si="44"/>
        <v>0</v>
      </c>
      <c r="M92" s="1290">
        <f>K92+L92</f>
        <v>0</v>
      </c>
      <c r="N92" s="1290">
        <f>N105+N118+N131+N144+N157+N170</f>
        <v>0</v>
      </c>
      <c r="O92" s="1472"/>
      <c r="P92" s="1290">
        <f t="shared" si="47"/>
        <v>0</v>
      </c>
      <c r="Q92" s="1290">
        <f>Q105+Q118+Q131+Q144+Q157+Q170</f>
        <v>0</v>
      </c>
      <c r="R92" s="889"/>
      <c r="S92" s="894"/>
      <c r="T92" s="895"/>
      <c r="U92" s="880">
        <f t="shared" si="36"/>
        <v>0</v>
      </c>
      <c r="AC92" s="513"/>
    </row>
    <row r="93" spans="1:29" s="486" customFormat="1" ht="16.899999999999999" customHeight="1" thickBot="1">
      <c r="A93" s="1794"/>
      <c r="B93" s="659" t="s">
        <v>133</v>
      </c>
      <c r="C93" s="890">
        <f>C87+C91+C92</f>
        <v>533761</v>
      </c>
      <c r="D93" s="890">
        <f>D87+D91+D92</f>
        <v>27664</v>
      </c>
      <c r="E93" s="890">
        <f>E87+E91+E92</f>
        <v>561425</v>
      </c>
      <c r="F93" s="890">
        <f>F87+F91+F92</f>
        <v>13424</v>
      </c>
      <c r="G93" s="890">
        <f>G87+G91+G92</f>
        <v>574849</v>
      </c>
      <c r="H93" s="890">
        <f t="shared" si="47"/>
        <v>14057</v>
      </c>
      <c r="I93" s="890">
        <f t="shared" si="47"/>
        <v>588906</v>
      </c>
      <c r="J93" s="890">
        <f>J87+J91+J92</f>
        <v>9727</v>
      </c>
      <c r="K93" s="890">
        <f>K87+K91+K92</f>
        <v>598633</v>
      </c>
      <c r="L93" s="890">
        <f>L87+L91+L92</f>
        <v>24361</v>
      </c>
      <c r="M93" s="890">
        <f>M87+M91+M92</f>
        <v>622994</v>
      </c>
      <c r="N93" s="890">
        <f>N87+N91+N92</f>
        <v>576782</v>
      </c>
      <c r="O93" s="1473">
        <f t="shared" si="48"/>
        <v>0.9258227206040508</v>
      </c>
      <c r="P93" s="890">
        <f>P119+P132+P145+P171+P106+P158</f>
        <v>609820</v>
      </c>
      <c r="Q93" s="890">
        <f>Q87+Q91+Q92</f>
        <v>13174</v>
      </c>
      <c r="R93" s="891">
        <f>R87+R91+R92</f>
        <v>0</v>
      </c>
      <c r="S93" s="896"/>
      <c r="T93" s="897"/>
      <c r="U93" s="880">
        <f t="shared" si="36"/>
        <v>622994</v>
      </c>
      <c r="AC93" s="513"/>
    </row>
    <row r="94" spans="1:29" s="514" customFormat="1" ht="22.9" customHeight="1" thickBot="1">
      <c r="A94" s="594"/>
      <c r="B94" s="1821" t="s">
        <v>6</v>
      </c>
      <c r="C94" s="1796"/>
      <c r="D94" s="1796"/>
      <c r="E94" s="1796"/>
      <c r="F94" s="1796"/>
      <c r="G94" s="1796"/>
      <c r="H94" s="1796"/>
      <c r="I94" s="1796"/>
      <c r="J94" s="1796"/>
      <c r="K94" s="1796"/>
      <c r="L94" s="1796"/>
      <c r="M94" s="1796"/>
      <c r="N94" s="1796"/>
      <c r="O94" s="1796"/>
      <c r="P94" s="1796"/>
      <c r="Q94" s="1796"/>
      <c r="R94" s="1797"/>
      <c r="S94" s="665"/>
      <c r="T94" s="666"/>
      <c r="U94" s="657"/>
      <c r="AC94" s="515"/>
    </row>
    <row r="95" spans="1:29" s="485" customFormat="1" ht="16.899999999999999" customHeight="1">
      <c r="A95" s="1791" t="s">
        <v>98</v>
      </c>
      <c r="B95" s="516" t="s">
        <v>40</v>
      </c>
      <c r="C95" s="876">
        <v>60892</v>
      </c>
      <c r="D95" s="876">
        <v>930</v>
      </c>
      <c r="E95" s="876">
        <f>C95+D95</f>
        <v>61822</v>
      </c>
      <c r="F95" s="876">
        <v>585</v>
      </c>
      <c r="G95" s="876">
        <f>E95+F95</f>
        <v>62407</v>
      </c>
      <c r="H95" s="876">
        <v>390</v>
      </c>
      <c r="I95" s="876">
        <f t="shared" ref="I95:I106" si="51">G95+H95</f>
        <v>62797</v>
      </c>
      <c r="J95" s="876">
        <v>193</v>
      </c>
      <c r="K95" s="876">
        <f>I95+J95</f>
        <v>62990</v>
      </c>
      <c r="L95" s="876">
        <v>200</v>
      </c>
      <c r="M95" s="876">
        <f>K95+L95</f>
        <v>63190</v>
      </c>
      <c r="N95" s="876">
        <v>59553</v>
      </c>
      <c r="O95" s="1468">
        <f>N95/M95</f>
        <v>0.94244342459249886</v>
      </c>
      <c r="P95" s="876">
        <v>63190</v>
      </c>
      <c r="Q95" s="876">
        <v>0</v>
      </c>
      <c r="R95" s="877">
        <v>0</v>
      </c>
      <c r="S95" s="894"/>
      <c r="T95" s="895"/>
      <c r="U95" s="880">
        <f t="shared" si="36"/>
        <v>63190</v>
      </c>
      <c r="V95" s="899"/>
      <c r="AC95" s="513"/>
    </row>
    <row r="96" spans="1:29" s="485" customFormat="1" ht="30.95" customHeight="1">
      <c r="A96" s="1792"/>
      <c r="B96" s="517" t="s">
        <v>303</v>
      </c>
      <c r="C96" s="881">
        <v>21535</v>
      </c>
      <c r="D96" s="876">
        <v>248</v>
      </c>
      <c r="E96" s="876">
        <f>C96+D96</f>
        <v>21783</v>
      </c>
      <c r="F96" s="876">
        <v>159</v>
      </c>
      <c r="G96" s="876">
        <f t="shared" ref="G96:G105" si="52">E96+F96</f>
        <v>21942</v>
      </c>
      <c r="H96" s="876">
        <v>105</v>
      </c>
      <c r="I96" s="876">
        <f t="shared" si="51"/>
        <v>22047</v>
      </c>
      <c r="J96" s="876">
        <v>52</v>
      </c>
      <c r="K96" s="876">
        <f>I96+J96</f>
        <v>22099</v>
      </c>
      <c r="L96" s="876">
        <v>54</v>
      </c>
      <c r="M96" s="876">
        <f>K96+L96</f>
        <v>22153</v>
      </c>
      <c r="N96" s="876">
        <v>21183</v>
      </c>
      <c r="O96" s="1468">
        <f t="shared" ref="O96:O106" si="53">N96/M96</f>
        <v>0.95621360538076106</v>
      </c>
      <c r="P96" s="876">
        <v>22153</v>
      </c>
      <c r="Q96" s="881">
        <v>0</v>
      </c>
      <c r="R96" s="882">
        <v>0</v>
      </c>
      <c r="S96" s="894"/>
      <c r="T96" s="895"/>
      <c r="U96" s="880">
        <f t="shared" si="36"/>
        <v>22153</v>
      </c>
      <c r="V96" s="899"/>
      <c r="AC96" s="513"/>
    </row>
    <row r="97" spans="1:29" s="485" customFormat="1" ht="16.899999999999999" customHeight="1">
      <c r="A97" s="1792"/>
      <c r="B97" s="517" t="s">
        <v>132</v>
      </c>
      <c r="C97" s="881">
        <v>19200</v>
      </c>
      <c r="D97" s="876">
        <f>270-366</f>
        <v>-96</v>
      </c>
      <c r="E97" s="876">
        <f>C97+D97</f>
        <v>19104</v>
      </c>
      <c r="F97" s="876">
        <f>2000+15</f>
        <v>2015</v>
      </c>
      <c r="G97" s="876">
        <f t="shared" si="52"/>
        <v>21119</v>
      </c>
      <c r="H97" s="876">
        <v>1300</v>
      </c>
      <c r="I97" s="876">
        <f t="shared" si="51"/>
        <v>22419</v>
      </c>
      <c r="J97" s="876">
        <v>3000</v>
      </c>
      <c r="K97" s="876">
        <f>I97+J97</f>
        <v>25419</v>
      </c>
      <c r="L97" s="876">
        <f>350+910+450</f>
        <v>1710</v>
      </c>
      <c r="M97" s="876">
        <f>K97+L97</f>
        <v>27129</v>
      </c>
      <c r="N97" s="1608">
        <v>26880</v>
      </c>
      <c r="O97" s="1468">
        <f t="shared" si="53"/>
        <v>0.99082162999004753</v>
      </c>
      <c r="P97" s="876">
        <v>27129</v>
      </c>
      <c r="Q97" s="881">
        <v>0</v>
      </c>
      <c r="R97" s="882">
        <v>0</v>
      </c>
      <c r="S97" s="894"/>
      <c r="T97" s="895"/>
      <c r="U97" s="880">
        <f t="shared" si="36"/>
        <v>27129</v>
      </c>
      <c r="V97" s="899"/>
      <c r="AC97" s="513"/>
    </row>
    <row r="98" spans="1:29" s="485" customFormat="1" ht="16.899999999999999" customHeight="1">
      <c r="A98" s="1792"/>
      <c r="B98" s="517" t="s">
        <v>42</v>
      </c>
      <c r="C98" s="881">
        <v>0</v>
      </c>
      <c r="D98" s="876"/>
      <c r="E98" s="876">
        <f>C98+D98</f>
        <v>0</v>
      </c>
      <c r="F98" s="876"/>
      <c r="G98" s="876">
        <f t="shared" si="52"/>
        <v>0</v>
      </c>
      <c r="H98" s="876"/>
      <c r="I98" s="876">
        <f t="shared" si="51"/>
        <v>0</v>
      </c>
      <c r="J98" s="876"/>
      <c r="K98" s="876">
        <f>I98+J98</f>
        <v>0</v>
      </c>
      <c r="L98" s="876"/>
      <c r="M98" s="876">
        <f>K98+L98</f>
        <v>0</v>
      </c>
      <c r="N98" s="876"/>
      <c r="O98" s="1468"/>
      <c r="P98" s="876">
        <f t="shared" ref="P98:P99" si="54">K98</f>
        <v>0</v>
      </c>
      <c r="Q98" s="881">
        <v>0</v>
      </c>
      <c r="R98" s="882">
        <v>0</v>
      </c>
      <c r="S98" s="894"/>
      <c r="T98" s="895"/>
      <c r="U98" s="880">
        <f t="shared" si="36"/>
        <v>0</v>
      </c>
      <c r="V98" s="899"/>
      <c r="AC98" s="513"/>
    </row>
    <row r="99" spans="1:29" s="485" customFormat="1" ht="16.899999999999999" customHeight="1">
      <c r="A99" s="1792"/>
      <c r="B99" s="517" t="s">
        <v>361</v>
      </c>
      <c r="C99" s="881">
        <v>19000</v>
      </c>
      <c r="D99" s="876">
        <v>-19000</v>
      </c>
      <c r="E99" s="876">
        <f>C99+D99</f>
        <v>0</v>
      </c>
      <c r="F99" s="876"/>
      <c r="G99" s="876">
        <f t="shared" si="52"/>
        <v>0</v>
      </c>
      <c r="H99" s="876"/>
      <c r="I99" s="876">
        <f t="shared" si="51"/>
        <v>0</v>
      </c>
      <c r="J99" s="876"/>
      <c r="K99" s="876">
        <f>I99+J99</f>
        <v>0</v>
      </c>
      <c r="L99" s="876"/>
      <c r="M99" s="876">
        <f>K99+L99</f>
        <v>0</v>
      </c>
      <c r="N99" s="876"/>
      <c r="O99" s="1468"/>
      <c r="P99" s="876">
        <f t="shared" si="54"/>
        <v>0</v>
      </c>
      <c r="Q99" s="881">
        <v>0</v>
      </c>
      <c r="R99" s="882">
        <v>0</v>
      </c>
      <c r="S99" s="894"/>
      <c r="T99" s="895"/>
      <c r="U99" s="880">
        <f t="shared" si="36"/>
        <v>0</v>
      </c>
      <c r="V99" s="899"/>
      <c r="AC99" s="513"/>
    </row>
    <row r="100" spans="1:29" s="486" customFormat="1" ht="16.899999999999999" customHeight="1">
      <c r="A100" s="1792"/>
      <c r="B100" s="518" t="s">
        <v>362</v>
      </c>
      <c r="C100" s="883">
        <f t="shared" ref="C100:H100" si="55">SUM(C95:C99)</f>
        <v>120627</v>
      </c>
      <c r="D100" s="883">
        <f t="shared" si="55"/>
        <v>-17918</v>
      </c>
      <c r="E100" s="883">
        <f t="shared" si="55"/>
        <v>102709</v>
      </c>
      <c r="F100" s="883">
        <f t="shared" si="55"/>
        <v>2759</v>
      </c>
      <c r="G100" s="883">
        <f t="shared" si="55"/>
        <v>105468</v>
      </c>
      <c r="H100" s="883">
        <f t="shared" si="55"/>
        <v>1795</v>
      </c>
      <c r="I100" s="901">
        <f t="shared" si="51"/>
        <v>107263</v>
      </c>
      <c r="J100" s="901">
        <f>SUM(J95:J99)</f>
        <v>3245</v>
      </c>
      <c r="K100" s="901">
        <f>SUM(K95:K99)</f>
        <v>110508</v>
      </c>
      <c r="L100" s="901">
        <f>SUM(L95:L99)</f>
        <v>1964</v>
      </c>
      <c r="M100" s="901">
        <f>SUM(M95:M99)</f>
        <v>112472</v>
      </c>
      <c r="N100" s="901">
        <f>SUM(N95:N99)</f>
        <v>107616</v>
      </c>
      <c r="O100" s="1468">
        <f t="shared" si="53"/>
        <v>0.95682480973042183</v>
      </c>
      <c r="P100" s="901">
        <f>M100</f>
        <v>112472</v>
      </c>
      <c r="Q100" s="883">
        <f>SUM(Q95:Q99)</f>
        <v>0</v>
      </c>
      <c r="R100" s="884">
        <f>SUM(R95:R99)</f>
        <v>0</v>
      </c>
      <c r="S100" s="896"/>
      <c r="T100" s="897"/>
      <c r="U100" s="880">
        <f t="shared" si="36"/>
        <v>112472</v>
      </c>
      <c r="V100" s="900"/>
      <c r="AC100" s="513"/>
    </row>
    <row r="101" spans="1:29" s="485" customFormat="1" ht="16.899999999999999" customHeight="1">
      <c r="A101" s="1792"/>
      <c r="B101" s="517" t="s">
        <v>363</v>
      </c>
      <c r="C101" s="881">
        <v>0</v>
      </c>
      <c r="D101" s="881">
        <f>1200+366</f>
        <v>1566</v>
      </c>
      <c r="E101" s="881">
        <f>C101+D101</f>
        <v>1566</v>
      </c>
      <c r="F101" s="876"/>
      <c r="G101" s="876">
        <f t="shared" si="52"/>
        <v>1566</v>
      </c>
      <c r="H101" s="876"/>
      <c r="I101" s="876">
        <f t="shared" si="51"/>
        <v>1566</v>
      </c>
      <c r="J101" s="876"/>
      <c r="K101" s="876">
        <f>I101+J101</f>
        <v>1566</v>
      </c>
      <c r="L101" s="876">
        <v>-910</v>
      </c>
      <c r="M101" s="876">
        <f>K101+L101</f>
        <v>656</v>
      </c>
      <c r="N101" s="1608">
        <v>770</v>
      </c>
      <c r="O101" s="1468">
        <f t="shared" si="53"/>
        <v>1.1737804878048781</v>
      </c>
      <c r="P101" s="876">
        <f>M101</f>
        <v>656</v>
      </c>
      <c r="Q101" s="881">
        <v>0</v>
      </c>
      <c r="R101" s="882">
        <v>0</v>
      </c>
      <c r="S101" s="894"/>
      <c r="T101" s="895"/>
      <c r="U101" s="880">
        <f t="shared" si="36"/>
        <v>656</v>
      </c>
      <c r="V101" s="899"/>
      <c r="AC101" s="513"/>
    </row>
    <row r="102" spans="1:29" s="485" customFormat="1" ht="16.899999999999999" customHeight="1">
      <c r="A102" s="1792"/>
      <c r="B102" s="517" t="s">
        <v>54</v>
      </c>
      <c r="C102" s="881">
        <v>0</v>
      </c>
      <c r="D102" s="881"/>
      <c r="E102" s="881">
        <f>C102+D102</f>
        <v>0</v>
      </c>
      <c r="F102" s="876"/>
      <c r="G102" s="876">
        <f t="shared" si="52"/>
        <v>0</v>
      </c>
      <c r="H102" s="876"/>
      <c r="I102" s="876">
        <f t="shared" si="51"/>
        <v>0</v>
      </c>
      <c r="J102" s="876"/>
      <c r="K102" s="876">
        <f>I102+J102</f>
        <v>0</v>
      </c>
      <c r="L102" s="876"/>
      <c r="M102" s="876">
        <f>K102+L102</f>
        <v>0</v>
      </c>
      <c r="N102" s="876"/>
      <c r="O102" s="1468"/>
      <c r="P102" s="876">
        <f t="shared" ref="P102:P105" si="56">M102</f>
        <v>0</v>
      </c>
      <c r="Q102" s="881">
        <v>0</v>
      </c>
      <c r="R102" s="882">
        <v>0</v>
      </c>
      <c r="S102" s="894"/>
      <c r="T102" s="895"/>
      <c r="U102" s="880">
        <f t="shared" si="36"/>
        <v>0</v>
      </c>
      <c r="V102" s="899"/>
      <c r="AC102" s="513"/>
    </row>
    <row r="103" spans="1:29" s="485" customFormat="1" ht="16.899999999999999" customHeight="1">
      <c r="A103" s="1792"/>
      <c r="B103" s="517" t="s">
        <v>364</v>
      </c>
      <c r="C103" s="881">
        <v>0</v>
      </c>
      <c r="D103" s="881"/>
      <c r="E103" s="881">
        <f>C103+D103</f>
        <v>0</v>
      </c>
      <c r="F103" s="876"/>
      <c r="G103" s="876">
        <f t="shared" si="52"/>
        <v>0</v>
      </c>
      <c r="H103" s="876"/>
      <c r="I103" s="876">
        <f t="shared" si="51"/>
        <v>0</v>
      </c>
      <c r="J103" s="876"/>
      <c r="K103" s="876">
        <f>I103+J103</f>
        <v>0</v>
      </c>
      <c r="L103" s="876"/>
      <c r="M103" s="876">
        <f>K103+L103</f>
        <v>0</v>
      </c>
      <c r="N103" s="876"/>
      <c r="O103" s="1468"/>
      <c r="P103" s="876">
        <f t="shared" si="56"/>
        <v>0</v>
      </c>
      <c r="Q103" s="881">
        <v>0</v>
      </c>
      <c r="R103" s="882">
        <v>0</v>
      </c>
      <c r="S103" s="894"/>
      <c r="T103" s="895"/>
      <c r="U103" s="880">
        <f t="shared" si="36"/>
        <v>0</v>
      </c>
      <c r="V103" s="899"/>
      <c r="AC103" s="513"/>
    </row>
    <row r="104" spans="1:29" s="486" customFormat="1" ht="16.899999999999999" customHeight="1">
      <c r="A104" s="1792"/>
      <c r="B104" s="518" t="s">
        <v>365</v>
      </c>
      <c r="C104" s="883">
        <f t="shared" ref="C104:H104" si="57">SUM(C101:C103)</f>
        <v>0</v>
      </c>
      <c r="D104" s="883">
        <f t="shared" si="57"/>
        <v>1566</v>
      </c>
      <c r="E104" s="883">
        <f t="shared" si="57"/>
        <v>1566</v>
      </c>
      <c r="F104" s="883">
        <f t="shared" si="57"/>
        <v>0</v>
      </c>
      <c r="G104" s="883">
        <f t="shared" si="57"/>
        <v>1566</v>
      </c>
      <c r="H104" s="883">
        <f t="shared" si="57"/>
        <v>0</v>
      </c>
      <c r="I104" s="901">
        <f t="shared" si="51"/>
        <v>1566</v>
      </c>
      <c r="J104" s="901">
        <f>SUM(J101:J103)</f>
        <v>0</v>
      </c>
      <c r="K104" s="901">
        <f>SUM(K101:K103)</f>
        <v>1566</v>
      </c>
      <c r="L104" s="901">
        <f>SUM(L101:L103)</f>
        <v>-910</v>
      </c>
      <c r="M104" s="901">
        <f>SUM(M101:M103)</f>
        <v>656</v>
      </c>
      <c r="N104" s="901">
        <f>SUM(N101:N103)</f>
        <v>770</v>
      </c>
      <c r="O104" s="1468">
        <f t="shared" si="53"/>
        <v>1.1737804878048781</v>
      </c>
      <c r="P104" s="876">
        <f t="shared" si="56"/>
        <v>656</v>
      </c>
      <c r="Q104" s="883">
        <f>SUM(Q101:Q103)</f>
        <v>0</v>
      </c>
      <c r="R104" s="884">
        <f>SUM(R101:R103)</f>
        <v>0</v>
      </c>
      <c r="S104" s="896"/>
      <c r="T104" s="897"/>
      <c r="U104" s="880">
        <f t="shared" si="36"/>
        <v>656</v>
      </c>
      <c r="V104" s="900"/>
      <c r="AC104" s="513"/>
    </row>
    <row r="105" spans="1:29" s="485" customFormat="1" ht="16.899999999999999" customHeight="1" thickBot="1">
      <c r="A105" s="1792"/>
      <c r="B105" s="658" t="s">
        <v>138</v>
      </c>
      <c r="C105" s="887"/>
      <c r="D105" s="887"/>
      <c r="E105" s="887">
        <f>C105+D105</f>
        <v>0</v>
      </c>
      <c r="F105" s="887"/>
      <c r="G105" s="876">
        <f t="shared" si="52"/>
        <v>0</v>
      </c>
      <c r="H105" s="1290"/>
      <c r="I105" s="876">
        <f t="shared" si="51"/>
        <v>0</v>
      </c>
      <c r="J105" s="876"/>
      <c r="K105" s="876">
        <f>I105+J105</f>
        <v>0</v>
      </c>
      <c r="L105" s="876"/>
      <c r="M105" s="1461">
        <f>K105+L105</f>
        <v>0</v>
      </c>
      <c r="N105" s="1461"/>
      <c r="O105" s="1472"/>
      <c r="P105" s="1462">
        <f t="shared" si="56"/>
        <v>0</v>
      </c>
      <c r="Q105" s="888"/>
      <c r="R105" s="889"/>
      <c r="S105" s="894"/>
      <c r="T105" s="895"/>
      <c r="U105" s="880">
        <f t="shared" si="36"/>
        <v>0</v>
      </c>
      <c r="V105" s="899"/>
      <c r="AC105" s="513"/>
    </row>
    <row r="106" spans="1:29" s="486" customFormat="1" ht="16.899999999999999" customHeight="1" thickBot="1">
      <c r="A106" s="1793"/>
      <c r="B106" s="659" t="s">
        <v>133</v>
      </c>
      <c r="C106" s="890">
        <f t="shared" ref="C106:R106" si="58">C100+C104+C105</f>
        <v>120627</v>
      </c>
      <c r="D106" s="890">
        <f t="shared" si="58"/>
        <v>-16352</v>
      </c>
      <c r="E106" s="890">
        <f t="shared" si="58"/>
        <v>104275</v>
      </c>
      <c r="F106" s="890">
        <f t="shared" si="58"/>
        <v>2759</v>
      </c>
      <c r="G106" s="890">
        <f t="shared" si="58"/>
        <v>107034</v>
      </c>
      <c r="H106" s="890">
        <f>H100+H104+H105</f>
        <v>1795</v>
      </c>
      <c r="I106" s="901">
        <f t="shared" si="51"/>
        <v>108829</v>
      </c>
      <c r="J106" s="901">
        <f>J100+J104+J105</f>
        <v>3245</v>
      </c>
      <c r="K106" s="901">
        <f>K105+K100+K104</f>
        <v>112074</v>
      </c>
      <c r="L106" s="901">
        <f>L100+L104+L105</f>
        <v>1054</v>
      </c>
      <c r="M106" s="901">
        <f>M105+M100+M104</f>
        <v>113128</v>
      </c>
      <c r="N106" s="901">
        <f>N100+N104+N105</f>
        <v>108386</v>
      </c>
      <c r="O106" s="1473">
        <f t="shared" si="53"/>
        <v>0.95808287957004457</v>
      </c>
      <c r="P106" s="901">
        <f>M106</f>
        <v>113128</v>
      </c>
      <c r="Q106" s="890">
        <f t="shared" si="58"/>
        <v>0</v>
      </c>
      <c r="R106" s="891">
        <f t="shared" si="58"/>
        <v>0</v>
      </c>
      <c r="S106" s="896"/>
      <c r="T106" s="897"/>
      <c r="U106" s="880">
        <f t="shared" si="36"/>
        <v>113128</v>
      </c>
      <c r="V106" s="900"/>
      <c r="AC106" s="513"/>
    </row>
    <row r="107" spans="1:29" s="514" customFormat="1" ht="22.9" customHeight="1" thickBot="1">
      <c r="A107" s="594"/>
      <c r="B107" s="1821" t="s">
        <v>3</v>
      </c>
      <c r="C107" s="1796"/>
      <c r="D107" s="1796"/>
      <c r="E107" s="1796"/>
      <c r="F107" s="1796"/>
      <c r="G107" s="1796"/>
      <c r="H107" s="1796"/>
      <c r="I107" s="1796"/>
      <c r="J107" s="1796"/>
      <c r="K107" s="1796"/>
      <c r="L107" s="1796"/>
      <c r="M107" s="1796"/>
      <c r="N107" s="1796"/>
      <c r="O107" s="1796"/>
      <c r="P107" s="1796"/>
      <c r="Q107" s="1796"/>
      <c r="R107" s="1797"/>
      <c r="S107" s="665"/>
      <c r="T107" s="666"/>
      <c r="U107" s="657"/>
      <c r="AC107" s="515"/>
    </row>
    <row r="108" spans="1:29" s="485" customFormat="1" ht="16.899999999999999" customHeight="1">
      <c r="A108" s="1791" t="s">
        <v>98</v>
      </c>
      <c r="B108" s="1463" t="s">
        <v>40</v>
      </c>
      <c r="C108" s="876">
        <v>23180</v>
      </c>
      <c r="D108" s="876">
        <v>228</v>
      </c>
      <c r="E108" s="876">
        <f>C108+D108</f>
        <v>23408</v>
      </c>
      <c r="F108" s="876">
        <v>126</v>
      </c>
      <c r="G108" s="876">
        <f>E108+F108</f>
        <v>23534</v>
      </c>
      <c r="H108" s="876">
        <v>83</v>
      </c>
      <c r="I108" s="876">
        <f t="shared" ref="I108:I119" si="59">G108+H108</f>
        <v>23617</v>
      </c>
      <c r="J108" s="876">
        <v>41</v>
      </c>
      <c r="K108" s="876">
        <f>I108+J108</f>
        <v>23658</v>
      </c>
      <c r="L108" s="876">
        <f>42-320</f>
        <v>-278</v>
      </c>
      <c r="M108" s="876">
        <f>K108+L108</f>
        <v>23380</v>
      </c>
      <c r="N108" s="876">
        <v>21526</v>
      </c>
      <c r="O108" s="1468">
        <f>N108/M108</f>
        <v>0.92070145423438832</v>
      </c>
      <c r="P108" s="876">
        <f>M108</f>
        <v>23380</v>
      </c>
      <c r="Q108" s="876">
        <v>0</v>
      </c>
      <c r="R108" s="877">
        <v>0</v>
      </c>
      <c r="S108" s="894"/>
      <c r="T108" s="895"/>
      <c r="U108" s="880">
        <f t="shared" si="36"/>
        <v>23380</v>
      </c>
      <c r="V108" s="899"/>
      <c r="AC108" s="513"/>
    </row>
    <row r="109" spans="1:29" s="485" customFormat="1" ht="30.95" customHeight="1">
      <c r="A109" s="1792"/>
      <c r="B109" s="1464" t="s">
        <v>303</v>
      </c>
      <c r="C109" s="881">
        <v>6343</v>
      </c>
      <c r="D109" s="881">
        <v>62</v>
      </c>
      <c r="E109" s="876">
        <f>C109+D109</f>
        <v>6405</v>
      </c>
      <c r="F109" s="876">
        <v>34</v>
      </c>
      <c r="G109" s="876">
        <f t="shared" ref="G109:G118" si="60">E109+F109</f>
        <v>6439</v>
      </c>
      <c r="H109" s="876">
        <v>22</v>
      </c>
      <c r="I109" s="876">
        <f t="shared" si="59"/>
        <v>6461</v>
      </c>
      <c r="J109" s="876">
        <v>11</v>
      </c>
      <c r="K109" s="876">
        <f>I109+J109</f>
        <v>6472</v>
      </c>
      <c r="L109" s="876">
        <f>11-90</f>
        <v>-79</v>
      </c>
      <c r="M109" s="876">
        <f>K109+L109</f>
        <v>6393</v>
      </c>
      <c r="N109" s="876">
        <v>5903</v>
      </c>
      <c r="O109" s="1468">
        <f t="shared" ref="O109:O119" si="61">N109/M109</f>
        <v>0.9233536680744564</v>
      </c>
      <c r="P109" s="876">
        <f t="shared" ref="P109:P118" si="62">M109</f>
        <v>6393</v>
      </c>
      <c r="Q109" s="881">
        <v>0</v>
      </c>
      <c r="R109" s="882">
        <v>0</v>
      </c>
      <c r="S109" s="894"/>
      <c r="T109" s="895"/>
      <c r="U109" s="880">
        <f t="shared" si="36"/>
        <v>6393</v>
      </c>
      <c r="V109" s="899"/>
      <c r="AC109" s="513"/>
    </row>
    <row r="110" spans="1:29" s="485" customFormat="1" ht="16.899999999999999" customHeight="1">
      <c r="A110" s="1792"/>
      <c r="B110" s="1464" t="s">
        <v>132</v>
      </c>
      <c r="C110" s="881">
        <v>58000</v>
      </c>
      <c r="D110" s="881">
        <v>-13</v>
      </c>
      <c r="E110" s="876">
        <f>C110+D110</f>
        <v>57987</v>
      </c>
      <c r="F110" s="876"/>
      <c r="G110" s="876">
        <f t="shared" si="60"/>
        <v>57987</v>
      </c>
      <c r="H110" s="876"/>
      <c r="I110" s="876">
        <f t="shared" si="59"/>
        <v>57987</v>
      </c>
      <c r="J110" s="876"/>
      <c r="K110" s="876">
        <f>I110+J110</f>
        <v>57987</v>
      </c>
      <c r="L110" s="876">
        <f>2000+2290</f>
        <v>4290</v>
      </c>
      <c r="M110" s="876">
        <f>K110+L110</f>
        <v>62277</v>
      </c>
      <c r="N110" s="876">
        <v>62148</v>
      </c>
      <c r="O110" s="1468">
        <f t="shared" si="61"/>
        <v>0.99792860927790361</v>
      </c>
      <c r="P110" s="876">
        <f t="shared" si="62"/>
        <v>62277</v>
      </c>
      <c r="Q110" s="881">
        <v>0</v>
      </c>
      <c r="R110" s="882">
        <v>0</v>
      </c>
      <c r="S110" s="894"/>
      <c r="T110" s="895"/>
      <c r="U110" s="880">
        <f t="shared" si="36"/>
        <v>62277</v>
      </c>
      <c r="V110" s="899"/>
      <c r="AC110" s="513"/>
    </row>
    <row r="111" spans="1:29" s="485" customFormat="1" ht="16.899999999999999" customHeight="1">
      <c r="A111" s="1792"/>
      <c r="B111" s="1464" t="s">
        <v>42</v>
      </c>
      <c r="C111" s="881">
        <v>0</v>
      </c>
      <c r="D111" s="881"/>
      <c r="E111" s="876">
        <f>C111+D111</f>
        <v>0</v>
      </c>
      <c r="F111" s="876"/>
      <c r="G111" s="876">
        <f t="shared" si="60"/>
        <v>0</v>
      </c>
      <c r="H111" s="876"/>
      <c r="I111" s="876">
        <f t="shared" si="59"/>
        <v>0</v>
      </c>
      <c r="J111" s="876"/>
      <c r="K111" s="876">
        <f>I111+J111</f>
        <v>0</v>
      </c>
      <c r="L111" s="876"/>
      <c r="M111" s="876">
        <f>K111+L111</f>
        <v>0</v>
      </c>
      <c r="N111" s="876"/>
      <c r="O111" s="1468"/>
      <c r="P111" s="876">
        <f t="shared" si="62"/>
        <v>0</v>
      </c>
      <c r="Q111" s="881">
        <v>0</v>
      </c>
      <c r="R111" s="882">
        <v>0</v>
      </c>
      <c r="S111" s="894"/>
      <c r="T111" s="895"/>
      <c r="U111" s="880">
        <f t="shared" si="36"/>
        <v>0</v>
      </c>
      <c r="V111" s="899"/>
      <c r="AC111" s="513"/>
    </row>
    <row r="112" spans="1:29" s="485" customFormat="1" ht="16.899999999999999" customHeight="1">
      <c r="A112" s="1792"/>
      <c r="B112" s="1464" t="s">
        <v>361</v>
      </c>
      <c r="C112" s="881">
        <v>0</v>
      </c>
      <c r="D112" s="881"/>
      <c r="E112" s="876">
        <f>C112+D112</f>
        <v>0</v>
      </c>
      <c r="F112" s="876"/>
      <c r="G112" s="876">
        <f t="shared" si="60"/>
        <v>0</v>
      </c>
      <c r="H112" s="876"/>
      <c r="I112" s="876">
        <f t="shared" si="59"/>
        <v>0</v>
      </c>
      <c r="J112" s="876"/>
      <c r="K112" s="876">
        <f>I112+J112</f>
        <v>0</v>
      </c>
      <c r="L112" s="876"/>
      <c r="M112" s="876">
        <f>K112+L112</f>
        <v>0</v>
      </c>
      <c r="N112" s="876"/>
      <c r="O112" s="1468"/>
      <c r="P112" s="876">
        <f t="shared" si="62"/>
        <v>0</v>
      </c>
      <c r="Q112" s="881">
        <v>0</v>
      </c>
      <c r="R112" s="882">
        <v>0</v>
      </c>
      <c r="S112" s="894"/>
      <c r="T112" s="895"/>
      <c r="U112" s="880">
        <f t="shared" si="36"/>
        <v>0</v>
      </c>
      <c r="V112" s="899"/>
      <c r="AC112" s="513"/>
    </row>
    <row r="113" spans="1:29" s="486" customFormat="1" ht="16.899999999999999" customHeight="1">
      <c r="A113" s="1792"/>
      <c r="B113" s="1465" t="s">
        <v>362</v>
      </c>
      <c r="C113" s="883">
        <f t="shared" ref="C113:H113" si="63">SUM(C108:C112)</f>
        <v>87523</v>
      </c>
      <c r="D113" s="883">
        <f t="shared" si="63"/>
        <v>277</v>
      </c>
      <c r="E113" s="883">
        <f t="shared" si="63"/>
        <v>87800</v>
      </c>
      <c r="F113" s="883">
        <f t="shared" si="63"/>
        <v>160</v>
      </c>
      <c r="G113" s="883">
        <f t="shared" si="63"/>
        <v>87960</v>
      </c>
      <c r="H113" s="883">
        <f t="shared" si="63"/>
        <v>105</v>
      </c>
      <c r="I113" s="901">
        <f t="shared" si="59"/>
        <v>88065</v>
      </c>
      <c r="J113" s="901">
        <f>SUM(J108:J112)</f>
        <v>52</v>
      </c>
      <c r="K113" s="901">
        <f>SUM(K108:K112)</f>
        <v>88117</v>
      </c>
      <c r="L113" s="901">
        <f>SUM(L108:L112)</f>
        <v>3933</v>
      </c>
      <c r="M113" s="901">
        <f>SUM(M108:M112)</f>
        <v>92050</v>
      </c>
      <c r="N113" s="901">
        <f>SUM(N108:N112)</f>
        <v>89577</v>
      </c>
      <c r="O113" s="1468">
        <f t="shared" si="61"/>
        <v>0.97313416621401416</v>
      </c>
      <c r="P113" s="876">
        <f t="shared" si="62"/>
        <v>92050</v>
      </c>
      <c r="Q113" s="883">
        <f>SUM(Q108:Q112)</f>
        <v>0</v>
      </c>
      <c r="R113" s="884">
        <f>SUM(R108:R112)</f>
        <v>0</v>
      </c>
      <c r="S113" s="896"/>
      <c r="T113" s="897"/>
      <c r="U113" s="880">
        <f t="shared" si="36"/>
        <v>92050</v>
      </c>
      <c r="V113" s="900"/>
      <c r="AC113" s="513"/>
    </row>
    <row r="114" spans="1:29" s="485" customFormat="1" ht="16.899999999999999" customHeight="1">
      <c r="A114" s="1792"/>
      <c r="B114" s="1464" t="s">
        <v>363</v>
      </c>
      <c r="C114" s="881">
        <v>0</v>
      </c>
      <c r="D114" s="881">
        <f>2400+13</f>
        <v>2413</v>
      </c>
      <c r="E114" s="881">
        <f>C114+D114</f>
        <v>2413</v>
      </c>
      <c r="F114" s="876"/>
      <c r="G114" s="876">
        <f t="shared" si="60"/>
        <v>2413</v>
      </c>
      <c r="H114" s="876"/>
      <c r="I114" s="876">
        <f t="shared" si="59"/>
        <v>2413</v>
      </c>
      <c r="J114" s="876"/>
      <c r="K114" s="876">
        <f>I114+J114</f>
        <v>2413</v>
      </c>
      <c r="L114" s="876">
        <v>-1880</v>
      </c>
      <c r="M114" s="876">
        <f>K114+L114</f>
        <v>533</v>
      </c>
      <c r="N114" s="876">
        <v>658</v>
      </c>
      <c r="O114" s="1468">
        <f t="shared" si="61"/>
        <v>1.2345215759849906</v>
      </c>
      <c r="P114" s="876">
        <f t="shared" si="62"/>
        <v>533</v>
      </c>
      <c r="Q114" s="881">
        <v>0</v>
      </c>
      <c r="R114" s="882">
        <v>0</v>
      </c>
      <c r="S114" s="894"/>
      <c r="T114" s="895"/>
      <c r="U114" s="880">
        <f t="shared" si="36"/>
        <v>533</v>
      </c>
      <c r="V114" s="899"/>
      <c r="AC114" s="513"/>
    </row>
    <row r="115" spans="1:29" s="485" customFormat="1" ht="16.899999999999999" customHeight="1">
      <c r="A115" s="1792"/>
      <c r="B115" s="1464" t="s">
        <v>54</v>
      </c>
      <c r="C115" s="881">
        <v>0</v>
      </c>
      <c r="D115" s="881"/>
      <c r="E115" s="881">
        <f>C115+D115</f>
        <v>0</v>
      </c>
      <c r="F115" s="881"/>
      <c r="G115" s="876">
        <f t="shared" si="60"/>
        <v>0</v>
      </c>
      <c r="H115" s="876"/>
      <c r="I115" s="876">
        <f t="shared" si="59"/>
        <v>0</v>
      </c>
      <c r="J115" s="876"/>
      <c r="K115" s="876">
        <f>I115+J115</f>
        <v>0</v>
      </c>
      <c r="L115" s="876"/>
      <c r="M115" s="876">
        <f>K115+L115</f>
        <v>0</v>
      </c>
      <c r="N115" s="876"/>
      <c r="O115" s="1468"/>
      <c r="P115" s="876">
        <f t="shared" si="62"/>
        <v>0</v>
      </c>
      <c r="Q115" s="881">
        <v>0</v>
      </c>
      <c r="R115" s="882">
        <v>0</v>
      </c>
      <c r="S115" s="894"/>
      <c r="T115" s="895"/>
      <c r="U115" s="880">
        <f t="shared" si="36"/>
        <v>0</v>
      </c>
      <c r="V115" s="899"/>
      <c r="AC115" s="513"/>
    </row>
    <row r="116" spans="1:29" s="485" customFormat="1" ht="16.899999999999999" customHeight="1">
      <c r="A116" s="1792"/>
      <c r="B116" s="1464" t="s">
        <v>364</v>
      </c>
      <c r="C116" s="881">
        <v>0</v>
      </c>
      <c r="D116" s="881"/>
      <c r="E116" s="881">
        <f>C116+D116</f>
        <v>0</v>
      </c>
      <c r="F116" s="881"/>
      <c r="G116" s="876">
        <f t="shared" si="60"/>
        <v>0</v>
      </c>
      <c r="H116" s="876"/>
      <c r="I116" s="876">
        <f t="shared" si="59"/>
        <v>0</v>
      </c>
      <c r="J116" s="876"/>
      <c r="K116" s="876">
        <f>I116+J116</f>
        <v>0</v>
      </c>
      <c r="L116" s="876"/>
      <c r="M116" s="876">
        <f>K116+L116</f>
        <v>0</v>
      </c>
      <c r="N116" s="876"/>
      <c r="O116" s="1468"/>
      <c r="P116" s="876">
        <f t="shared" si="62"/>
        <v>0</v>
      </c>
      <c r="Q116" s="881">
        <v>0</v>
      </c>
      <c r="R116" s="882">
        <v>0</v>
      </c>
      <c r="S116" s="894"/>
      <c r="T116" s="895"/>
      <c r="U116" s="880">
        <f t="shared" si="36"/>
        <v>0</v>
      </c>
      <c r="V116" s="899"/>
      <c r="AC116" s="513"/>
    </row>
    <row r="117" spans="1:29" s="486" customFormat="1" ht="16.899999999999999" customHeight="1">
      <c r="A117" s="1792"/>
      <c r="B117" s="1465" t="s">
        <v>365</v>
      </c>
      <c r="C117" s="883">
        <f t="shared" ref="C117:R117" si="64">SUM(C114:C116)</f>
        <v>0</v>
      </c>
      <c r="D117" s="883">
        <f t="shared" si="64"/>
        <v>2413</v>
      </c>
      <c r="E117" s="883">
        <f t="shared" si="64"/>
        <v>2413</v>
      </c>
      <c r="F117" s="883">
        <f t="shared" si="64"/>
        <v>0</v>
      </c>
      <c r="G117" s="883">
        <f t="shared" si="64"/>
        <v>2413</v>
      </c>
      <c r="H117" s="883">
        <f>SUM(H114:H116)</f>
        <v>0</v>
      </c>
      <c r="I117" s="901">
        <f t="shared" si="59"/>
        <v>2413</v>
      </c>
      <c r="J117" s="901">
        <f>SUM(J114:J116)</f>
        <v>0</v>
      </c>
      <c r="K117" s="901">
        <f>SUM(K114:K116)</f>
        <v>2413</v>
      </c>
      <c r="L117" s="901">
        <f>SUM(L114:L116)</f>
        <v>-1880</v>
      </c>
      <c r="M117" s="901">
        <f>SUM(M114:M116)</f>
        <v>533</v>
      </c>
      <c r="N117" s="901">
        <f>SUM(N114:N116)</f>
        <v>658</v>
      </c>
      <c r="O117" s="1468">
        <f t="shared" si="61"/>
        <v>1.2345215759849906</v>
      </c>
      <c r="P117" s="901">
        <f t="shared" si="62"/>
        <v>533</v>
      </c>
      <c r="Q117" s="883">
        <f t="shared" si="64"/>
        <v>0</v>
      </c>
      <c r="R117" s="884">
        <f t="shared" si="64"/>
        <v>0</v>
      </c>
      <c r="S117" s="896"/>
      <c r="T117" s="897"/>
      <c r="U117" s="880">
        <f t="shared" si="36"/>
        <v>533</v>
      </c>
      <c r="V117" s="900"/>
      <c r="AC117" s="513"/>
    </row>
    <row r="118" spans="1:29" s="485" customFormat="1" ht="16.899999999999999" customHeight="1" thickBot="1">
      <c r="A118" s="1792"/>
      <c r="B118" s="1466" t="s">
        <v>138</v>
      </c>
      <c r="C118" s="887"/>
      <c r="D118" s="887"/>
      <c r="E118" s="887">
        <f>C118+D118</f>
        <v>0</v>
      </c>
      <c r="F118" s="887"/>
      <c r="G118" s="1290">
        <f t="shared" si="60"/>
        <v>0</v>
      </c>
      <c r="H118" s="1290"/>
      <c r="I118" s="1290">
        <f t="shared" si="59"/>
        <v>0</v>
      </c>
      <c r="J118" s="1290"/>
      <c r="K118" s="1290">
        <f>I118+J118</f>
        <v>0</v>
      </c>
      <c r="L118" s="1290"/>
      <c r="M118" s="1290">
        <f>K118+L118</f>
        <v>0</v>
      </c>
      <c r="N118" s="1290"/>
      <c r="O118" s="1469"/>
      <c r="P118" s="876">
        <f t="shared" si="62"/>
        <v>0</v>
      </c>
      <c r="Q118" s="888"/>
      <c r="R118" s="889"/>
      <c r="S118" s="894"/>
      <c r="T118" s="895"/>
      <c r="U118" s="880">
        <f t="shared" si="36"/>
        <v>0</v>
      </c>
      <c r="V118" s="899"/>
      <c r="AC118" s="513"/>
    </row>
    <row r="119" spans="1:29" s="486" customFormat="1" ht="16.899999999999999" customHeight="1" thickBot="1">
      <c r="A119" s="1793"/>
      <c r="B119" s="1467" t="s">
        <v>133</v>
      </c>
      <c r="C119" s="890">
        <f t="shared" ref="C119:R119" si="65">C113+C117+C118</f>
        <v>87523</v>
      </c>
      <c r="D119" s="890">
        <f t="shared" si="65"/>
        <v>2690</v>
      </c>
      <c r="E119" s="890">
        <f t="shared" si="65"/>
        <v>90213</v>
      </c>
      <c r="F119" s="890">
        <f t="shared" si="65"/>
        <v>160</v>
      </c>
      <c r="G119" s="890">
        <f t="shared" si="65"/>
        <v>90373</v>
      </c>
      <c r="H119" s="890">
        <f>H113+H117+H118</f>
        <v>105</v>
      </c>
      <c r="I119" s="890">
        <f t="shared" si="59"/>
        <v>90478</v>
      </c>
      <c r="J119" s="890">
        <f>J113+J117+J118</f>
        <v>52</v>
      </c>
      <c r="K119" s="890">
        <f>K113+K117+K118</f>
        <v>90530</v>
      </c>
      <c r="L119" s="890">
        <f>L113+L117+L118</f>
        <v>2053</v>
      </c>
      <c r="M119" s="890">
        <f>M113+M117+M118</f>
        <v>92583</v>
      </c>
      <c r="N119" s="890">
        <f>N113+N117+N118</f>
        <v>90235</v>
      </c>
      <c r="O119" s="1468">
        <f t="shared" si="61"/>
        <v>0.97463897259756116</v>
      </c>
      <c r="P119" s="890">
        <f>M119</f>
        <v>92583</v>
      </c>
      <c r="Q119" s="890">
        <f t="shared" si="65"/>
        <v>0</v>
      </c>
      <c r="R119" s="891">
        <f t="shared" si="65"/>
        <v>0</v>
      </c>
      <c r="S119" s="896"/>
      <c r="T119" s="897"/>
      <c r="U119" s="880">
        <f t="shared" si="36"/>
        <v>92583</v>
      </c>
      <c r="V119" s="900"/>
      <c r="AC119" s="513"/>
    </row>
    <row r="120" spans="1:29" s="514" customFormat="1" ht="22.9" customHeight="1" thickBot="1">
      <c r="A120" s="594"/>
      <c r="B120" s="1795" t="s">
        <v>4</v>
      </c>
      <c r="C120" s="1796"/>
      <c r="D120" s="1796"/>
      <c r="E120" s="1796"/>
      <c r="F120" s="1796"/>
      <c r="G120" s="1796"/>
      <c r="H120" s="1796"/>
      <c r="I120" s="1796"/>
      <c r="J120" s="1796"/>
      <c r="K120" s="1796"/>
      <c r="L120" s="1796"/>
      <c r="M120" s="1796"/>
      <c r="N120" s="1796"/>
      <c r="O120" s="1796"/>
      <c r="P120" s="1796"/>
      <c r="Q120" s="1796"/>
      <c r="R120" s="1797"/>
      <c r="S120" s="665"/>
      <c r="T120" s="666"/>
      <c r="U120" s="657"/>
      <c r="AC120" s="515"/>
    </row>
    <row r="121" spans="1:29" s="485" customFormat="1" ht="16.899999999999999" customHeight="1">
      <c r="A121" s="1791" t="s">
        <v>98</v>
      </c>
      <c r="B121" s="516" t="s">
        <v>40</v>
      </c>
      <c r="C121" s="656">
        <v>12057</v>
      </c>
      <c r="D121" s="656">
        <f>56+7686</f>
        <v>7742</v>
      </c>
      <c r="E121" s="656">
        <f>C121+D121</f>
        <v>19799</v>
      </c>
      <c r="F121" s="656">
        <f>19+8593</f>
        <v>8612</v>
      </c>
      <c r="G121" s="656">
        <f>E121+F121</f>
        <v>28411</v>
      </c>
      <c r="H121" s="876">
        <f>10308+10</f>
        <v>10318</v>
      </c>
      <c r="I121" s="876">
        <f t="shared" ref="I121:I132" si="66">G121+H121</f>
        <v>38729</v>
      </c>
      <c r="J121" s="876">
        <f>5470+6</f>
        <v>5476</v>
      </c>
      <c r="K121" s="876">
        <f>I121+J121</f>
        <v>44205</v>
      </c>
      <c r="L121" s="876">
        <f>5+15064</f>
        <v>15069</v>
      </c>
      <c r="M121" s="876">
        <f>K121+L121</f>
        <v>59274</v>
      </c>
      <c r="N121" s="876">
        <v>51808</v>
      </c>
      <c r="O121" s="1468">
        <f>N121/M121</f>
        <v>0.87404258190775042</v>
      </c>
      <c r="P121" s="876">
        <f>M121</f>
        <v>59274</v>
      </c>
      <c r="Q121" s="656">
        <v>0</v>
      </c>
      <c r="R121" s="575">
        <v>0</v>
      </c>
      <c r="S121" s="663"/>
      <c r="T121" s="664"/>
      <c r="U121" s="657">
        <f t="shared" si="36"/>
        <v>59274</v>
      </c>
      <c r="AC121" s="513"/>
    </row>
    <row r="122" spans="1:29" s="485" customFormat="1" ht="30.95" customHeight="1">
      <c r="A122" s="1792"/>
      <c r="B122" s="517" t="s">
        <v>303</v>
      </c>
      <c r="C122" s="881">
        <v>3273</v>
      </c>
      <c r="D122" s="881">
        <f>15+1038</f>
        <v>1053</v>
      </c>
      <c r="E122" s="876">
        <f>C122+D122</f>
        <v>4326</v>
      </c>
      <c r="F122" s="876">
        <f>4+1160</f>
        <v>1164</v>
      </c>
      <c r="G122" s="656">
        <f t="shared" ref="G122:G131" si="67">E122+F122</f>
        <v>5490</v>
      </c>
      <c r="H122" s="876">
        <f>1391+3</f>
        <v>1394</v>
      </c>
      <c r="I122" s="876">
        <f t="shared" si="66"/>
        <v>6884</v>
      </c>
      <c r="J122" s="876">
        <f>733+1</f>
        <v>734</v>
      </c>
      <c r="K122" s="876">
        <f>I122+J122</f>
        <v>7618</v>
      </c>
      <c r="L122" s="876">
        <f>2+2033</f>
        <v>2035</v>
      </c>
      <c r="M122" s="876">
        <f>K122+L122</f>
        <v>9653</v>
      </c>
      <c r="N122" s="876">
        <v>8812</v>
      </c>
      <c r="O122" s="1468">
        <f t="shared" ref="O122:O132" si="68">N122/M122</f>
        <v>0.9128768258572465</v>
      </c>
      <c r="P122" s="876">
        <f t="shared" ref="P122:P131" si="69">M122</f>
        <v>9653</v>
      </c>
      <c r="Q122" s="881">
        <v>0</v>
      </c>
      <c r="R122" s="882">
        <v>0</v>
      </c>
      <c r="S122" s="894"/>
      <c r="T122" s="895"/>
      <c r="U122" s="880">
        <f t="shared" si="36"/>
        <v>9653</v>
      </c>
      <c r="V122" s="899"/>
      <c r="W122" s="899"/>
      <c r="AC122" s="513"/>
    </row>
    <row r="123" spans="1:29" s="485" customFormat="1" ht="16.899999999999999" customHeight="1">
      <c r="A123" s="1792"/>
      <c r="B123" s="517" t="s">
        <v>132</v>
      </c>
      <c r="C123" s="881">
        <v>26900</v>
      </c>
      <c r="D123" s="881">
        <f>174-91</f>
        <v>83</v>
      </c>
      <c r="E123" s="876">
        <f>C123+D123</f>
        <v>26983</v>
      </c>
      <c r="F123" s="876"/>
      <c r="G123" s="656">
        <f t="shared" si="67"/>
        <v>26983</v>
      </c>
      <c r="H123" s="876"/>
      <c r="I123" s="876">
        <f t="shared" si="66"/>
        <v>26983</v>
      </c>
      <c r="J123" s="876"/>
      <c r="K123" s="876">
        <f>I123+J123</f>
        <v>26983</v>
      </c>
      <c r="L123" s="876">
        <v>2000</v>
      </c>
      <c r="M123" s="876">
        <f>K123+L123</f>
        <v>28983</v>
      </c>
      <c r="N123" s="876">
        <v>28732</v>
      </c>
      <c r="O123" s="1468">
        <f t="shared" si="68"/>
        <v>0.99133975088845183</v>
      </c>
      <c r="P123" s="876">
        <f t="shared" si="69"/>
        <v>28983</v>
      </c>
      <c r="Q123" s="881">
        <v>0</v>
      </c>
      <c r="R123" s="882">
        <v>0</v>
      </c>
      <c r="S123" s="894"/>
      <c r="T123" s="895"/>
      <c r="U123" s="880">
        <f t="shared" si="36"/>
        <v>28983</v>
      </c>
      <c r="V123" s="899"/>
      <c r="W123" s="899"/>
      <c r="AC123" s="513"/>
    </row>
    <row r="124" spans="1:29" s="485" customFormat="1" ht="16.899999999999999" customHeight="1">
      <c r="A124" s="1792"/>
      <c r="B124" s="517" t="s">
        <v>42</v>
      </c>
      <c r="C124" s="881">
        <v>0</v>
      </c>
      <c r="D124" s="881"/>
      <c r="E124" s="876">
        <f>C124+D124</f>
        <v>0</v>
      </c>
      <c r="F124" s="876"/>
      <c r="G124" s="656">
        <f t="shared" si="67"/>
        <v>0</v>
      </c>
      <c r="H124" s="876"/>
      <c r="I124" s="876">
        <f t="shared" si="66"/>
        <v>0</v>
      </c>
      <c r="J124" s="876"/>
      <c r="K124" s="876">
        <f>I124+J124</f>
        <v>0</v>
      </c>
      <c r="L124" s="876"/>
      <c r="M124" s="876">
        <f>K124+L124</f>
        <v>0</v>
      </c>
      <c r="N124" s="876"/>
      <c r="O124" s="1468"/>
      <c r="P124" s="876">
        <f t="shared" si="69"/>
        <v>0</v>
      </c>
      <c r="Q124" s="881">
        <v>0</v>
      </c>
      <c r="R124" s="882">
        <v>0</v>
      </c>
      <c r="S124" s="894"/>
      <c r="T124" s="895"/>
      <c r="U124" s="880">
        <f t="shared" si="36"/>
        <v>0</v>
      </c>
      <c r="V124" s="899"/>
      <c r="W124" s="899"/>
      <c r="AC124" s="513"/>
    </row>
    <row r="125" spans="1:29" s="485" customFormat="1" ht="16.899999999999999" customHeight="1">
      <c r="A125" s="1792"/>
      <c r="B125" s="517" t="s">
        <v>361</v>
      </c>
      <c r="C125" s="881">
        <v>0</v>
      </c>
      <c r="D125" s="881"/>
      <c r="E125" s="876">
        <f>C125+D125</f>
        <v>0</v>
      </c>
      <c r="F125" s="876"/>
      <c r="G125" s="656">
        <f t="shared" si="67"/>
        <v>0</v>
      </c>
      <c r="H125" s="876"/>
      <c r="I125" s="876">
        <f t="shared" si="66"/>
        <v>0</v>
      </c>
      <c r="J125" s="876"/>
      <c r="K125" s="876">
        <f>I125+J125</f>
        <v>0</v>
      </c>
      <c r="L125" s="876"/>
      <c r="M125" s="876">
        <f>K125+L125</f>
        <v>0</v>
      </c>
      <c r="N125" s="876"/>
      <c r="O125" s="1468"/>
      <c r="P125" s="876">
        <f t="shared" si="69"/>
        <v>0</v>
      </c>
      <c r="Q125" s="881">
        <v>0</v>
      </c>
      <c r="R125" s="882">
        <v>0</v>
      </c>
      <c r="S125" s="894"/>
      <c r="T125" s="895"/>
      <c r="U125" s="880">
        <f t="shared" si="36"/>
        <v>0</v>
      </c>
      <c r="V125" s="899"/>
      <c r="W125" s="899"/>
      <c r="AC125" s="513"/>
    </row>
    <row r="126" spans="1:29" s="486" customFormat="1" ht="16.899999999999999" customHeight="1">
      <c r="A126" s="1792"/>
      <c r="B126" s="518" t="s">
        <v>362</v>
      </c>
      <c r="C126" s="883">
        <f t="shared" ref="C126:H126" si="70">SUM(C121:C125)</f>
        <v>42230</v>
      </c>
      <c r="D126" s="883">
        <f t="shared" si="70"/>
        <v>8878</v>
      </c>
      <c r="E126" s="883">
        <f t="shared" si="70"/>
        <v>51108</v>
      </c>
      <c r="F126" s="883">
        <f t="shared" si="70"/>
        <v>9776</v>
      </c>
      <c r="G126" s="883">
        <f t="shared" si="70"/>
        <v>60884</v>
      </c>
      <c r="H126" s="883">
        <f t="shared" si="70"/>
        <v>11712</v>
      </c>
      <c r="I126" s="901">
        <f t="shared" si="66"/>
        <v>72596</v>
      </c>
      <c r="J126" s="901">
        <f>SUM(J121:J125)</f>
        <v>6210</v>
      </c>
      <c r="K126" s="901">
        <f>SUM(K121:K125)</f>
        <v>78806</v>
      </c>
      <c r="L126" s="901">
        <f>SUM(L121:L125)</f>
        <v>19104</v>
      </c>
      <c r="M126" s="901">
        <f>SUM(M121:M125)</f>
        <v>97910</v>
      </c>
      <c r="N126" s="901">
        <f>SUM(N121:N125)</f>
        <v>89352</v>
      </c>
      <c r="O126" s="1468">
        <f t="shared" si="68"/>
        <v>0.91259319783474624</v>
      </c>
      <c r="P126" s="901">
        <f t="shared" si="69"/>
        <v>97910</v>
      </c>
      <c r="Q126" s="883">
        <f>SUM(Q121:Q125)</f>
        <v>0</v>
      </c>
      <c r="R126" s="884">
        <f>SUM(R121:R125)</f>
        <v>0</v>
      </c>
      <c r="S126" s="898">
        <f>SUM(S121:S125)</f>
        <v>0</v>
      </c>
      <c r="T126" s="883">
        <f>SUM(T121:T125)</f>
        <v>0</v>
      </c>
      <c r="U126" s="880">
        <f t="shared" si="36"/>
        <v>97910</v>
      </c>
      <c r="V126" s="900"/>
      <c r="W126" s="900"/>
      <c r="AC126" s="513"/>
    </row>
    <row r="127" spans="1:29" s="485" customFormat="1" ht="16.899999999999999" customHeight="1">
      <c r="A127" s="1792"/>
      <c r="B127" s="517" t="s">
        <v>363</v>
      </c>
      <c r="C127" s="881">
        <v>0</v>
      </c>
      <c r="D127" s="881">
        <f>9500+1592+91</f>
        <v>11183</v>
      </c>
      <c r="E127" s="881">
        <f>C127+D127</f>
        <v>11183</v>
      </c>
      <c r="F127" s="876"/>
      <c r="G127" s="656">
        <f t="shared" si="67"/>
        <v>11183</v>
      </c>
      <c r="H127" s="876"/>
      <c r="I127" s="876">
        <f t="shared" si="66"/>
        <v>11183</v>
      </c>
      <c r="J127" s="876"/>
      <c r="K127" s="876">
        <f>I127+J127</f>
        <v>11183</v>
      </c>
      <c r="L127" s="876">
        <f>-2000-450</f>
        <v>-2450</v>
      </c>
      <c r="M127" s="876">
        <f>K127+L127</f>
        <v>8733</v>
      </c>
      <c r="N127" s="876">
        <v>3731</v>
      </c>
      <c r="O127" s="1468">
        <f t="shared" si="68"/>
        <v>0.42723004694835681</v>
      </c>
      <c r="P127" s="876">
        <f t="shared" si="69"/>
        <v>8733</v>
      </c>
      <c r="Q127" s="881">
        <v>0</v>
      </c>
      <c r="R127" s="882">
        <v>0</v>
      </c>
      <c r="S127" s="894"/>
      <c r="T127" s="895"/>
      <c r="U127" s="880">
        <f t="shared" si="36"/>
        <v>8733</v>
      </c>
      <c r="V127" s="899"/>
      <c r="W127" s="899"/>
      <c r="AC127" s="513"/>
    </row>
    <row r="128" spans="1:29" s="485" customFormat="1" ht="16.899999999999999" customHeight="1">
      <c r="A128" s="1792"/>
      <c r="B128" s="517" t="s">
        <v>54</v>
      </c>
      <c r="C128" s="881">
        <v>0</v>
      </c>
      <c r="D128" s="881"/>
      <c r="E128" s="881">
        <f>C128+D128</f>
        <v>0</v>
      </c>
      <c r="F128" s="876"/>
      <c r="G128" s="656">
        <f t="shared" si="67"/>
        <v>0</v>
      </c>
      <c r="H128" s="876"/>
      <c r="I128" s="876">
        <f t="shared" si="66"/>
        <v>0</v>
      </c>
      <c r="J128" s="876"/>
      <c r="K128" s="876">
        <f>I128+J128</f>
        <v>0</v>
      </c>
      <c r="L128" s="876"/>
      <c r="M128" s="876">
        <f>K128+L128</f>
        <v>0</v>
      </c>
      <c r="N128" s="876"/>
      <c r="O128" s="1468"/>
      <c r="P128" s="876">
        <f t="shared" si="69"/>
        <v>0</v>
      </c>
      <c r="Q128" s="881">
        <v>0</v>
      </c>
      <c r="R128" s="882">
        <v>0</v>
      </c>
      <c r="S128" s="894"/>
      <c r="T128" s="895"/>
      <c r="U128" s="880">
        <f t="shared" si="36"/>
        <v>0</v>
      </c>
      <c r="V128" s="899"/>
      <c r="W128" s="899"/>
      <c r="AC128" s="513"/>
    </row>
    <row r="129" spans="1:29" s="485" customFormat="1" ht="16.899999999999999" customHeight="1">
      <c r="A129" s="1792"/>
      <c r="B129" s="517" t="s">
        <v>364</v>
      </c>
      <c r="C129" s="881">
        <v>0</v>
      </c>
      <c r="D129" s="881"/>
      <c r="E129" s="881">
        <f>C129+D129</f>
        <v>0</v>
      </c>
      <c r="F129" s="876"/>
      <c r="G129" s="656">
        <f t="shared" si="67"/>
        <v>0</v>
      </c>
      <c r="H129" s="876"/>
      <c r="I129" s="876">
        <f t="shared" si="66"/>
        <v>0</v>
      </c>
      <c r="J129" s="876"/>
      <c r="K129" s="876">
        <f>I129+J129</f>
        <v>0</v>
      </c>
      <c r="L129" s="876"/>
      <c r="M129" s="876">
        <f>K129+L129</f>
        <v>0</v>
      </c>
      <c r="N129" s="876"/>
      <c r="O129" s="1468"/>
      <c r="P129" s="876">
        <f t="shared" si="69"/>
        <v>0</v>
      </c>
      <c r="Q129" s="881">
        <v>0</v>
      </c>
      <c r="R129" s="882">
        <v>0</v>
      </c>
      <c r="S129" s="894"/>
      <c r="T129" s="895"/>
      <c r="U129" s="880">
        <f t="shared" si="36"/>
        <v>0</v>
      </c>
      <c r="V129" s="899"/>
      <c r="W129" s="899"/>
      <c r="AC129" s="513"/>
    </row>
    <row r="130" spans="1:29" s="486" customFormat="1" ht="16.899999999999999" customHeight="1">
      <c r="A130" s="1792"/>
      <c r="B130" s="518" t="s">
        <v>365</v>
      </c>
      <c r="C130" s="883">
        <f t="shared" ref="C130:H130" si="71">SUM(C127:C129)</f>
        <v>0</v>
      </c>
      <c r="D130" s="883">
        <f t="shared" si="71"/>
        <v>11183</v>
      </c>
      <c r="E130" s="883">
        <f t="shared" si="71"/>
        <v>11183</v>
      </c>
      <c r="F130" s="883">
        <f t="shared" si="71"/>
        <v>0</v>
      </c>
      <c r="G130" s="883">
        <f t="shared" si="71"/>
        <v>11183</v>
      </c>
      <c r="H130" s="883">
        <f t="shared" si="71"/>
        <v>0</v>
      </c>
      <c r="I130" s="901">
        <f t="shared" si="66"/>
        <v>11183</v>
      </c>
      <c r="J130" s="901">
        <f>SUM(J127:J129)</f>
        <v>0</v>
      </c>
      <c r="K130" s="901">
        <f>SUM(K127:K129)</f>
        <v>11183</v>
      </c>
      <c r="L130" s="901">
        <f>SUM(L127:L129)</f>
        <v>-2450</v>
      </c>
      <c r="M130" s="901">
        <f>SUM(M127:M129)</f>
        <v>8733</v>
      </c>
      <c r="N130" s="901">
        <f>SUM(N127:N129)</f>
        <v>3731</v>
      </c>
      <c r="O130" s="1468">
        <f t="shared" si="68"/>
        <v>0.42723004694835681</v>
      </c>
      <c r="P130" s="901">
        <f t="shared" si="69"/>
        <v>8733</v>
      </c>
      <c r="Q130" s="883">
        <f>SUM(Q127:Q129)</f>
        <v>0</v>
      </c>
      <c r="R130" s="884">
        <f>SUM(R127:R129)</f>
        <v>0</v>
      </c>
      <c r="S130" s="896"/>
      <c r="T130" s="897"/>
      <c r="U130" s="880">
        <f t="shared" si="36"/>
        <v>8733</v>
      </c>
      <c r="V130" s="900"/>
      <c r="W130" s="900"/>
      <c r="AC130" s="513"/>
    </row>
    <row r="131" spans="1:29" s="485" customFormat="1" ht="16.899999999999999" customHeight="1" thickBot="1">
      <c r="A131" s="1792"/>
      <c r="B131" s="658" t="s">
        <v>138</v>
      </c>
      <c r="C131" s="887"/>
      <c r="D131" s="887"/>
      <c r="E131" s="887">
        <f>C131+D131</f>
        <v>0</v>
      </c>
      <c r="F131" s="887"/>
      <c r="G131" s="1301">
        <f t="shared" si="67"/>
        <v>0</v>
      </c>
      <c r="H131" s="1290"/>
      <c r="I131" s="1290">
        <f t="shared" si="66"/>
        <v>0</v>
      </c>
      <c r="J131" s="1290"/>
      <c r="K131" s="1290">
        <f>I131+J131</f>
        <v>0</v>
      </c>
      <c r="L131" s="1290"/>
      <c r="M131" s="1290">
        <f>K131+L131</f>
        <v>0</v>
      </c>
      <c r="N131" s="1290"/>
      <c r="O131" s="1472"/>
      <c r="P131" s="876">
        <f t="shared" si="69"/>
        <v>0</v>
      </c>
      <c r="Q131" s="888"/>
      <c r="R131" s="889"/>
      <c r="S131" s="894"/>
      <c r="T131" s="895"/>
      <c r="U131" s="880">
        <f t="shared" si="36"/>
        <v>0</v>
      </c>
      <c r="V131" s="899"/>
      <c r="W131" s="899"/>
      <c r="AC131" s="513"/>
    </row>
    <row r="132" spans="1:29" s="486" customFormat="1" ht="16.899999999999999" customHeight="1" thickBot="1">
      <c r="A132" s="1794"/>
      <c r="B132" s="659" t="s">
        <v>133</v>
      </c>
      <c r="C132" s="890">
        <f t="shared" ref="C132:R132" si="72">C126+C130+C131</f>
        <v>42230</v>
      </c>
      <c r="D132" s="890">
        <f t="shared" si="72"/>
        <v>20061</v>
      </c>
      <c r="E132" s="890">
        <f t="shared" si="72"/>
        <v>62291</v>
      </c>
      <c r="F132" s="890">
        <f t="shared" si="72"/>
        <v>9776</v>
      </c>
      <c r="G132" s="890">
        <f t="shared" si="72"/>
        <v>72067</v>
      </c>
      <c r="H132" s="890">
        <f>H126+H130+H131</f>
        <v>11712</v>
      </c>
      <c r="I132" s="890">
        <f t="shared" si="66"/>
        <v>83779</v>
      </c>
      <c r="J132" s="890">
        <f>J126+J130+J131</f>
        <v>6210</v>
      </c>
      <c r="K132" s="890">
        <f>K126+K130+K131</f>
        <v>89989</v>
      </c>
      <c r="L132" s="890">
        <f>L126+L130+L131</f>
        <v>16654</v>
      </c>
      <c r="M132" s="890">
        <f>M126+M130+M131</f>
        <v>106643</v>
      </c>
      <c r="N132" s="890">
        <f>N126+N130+N131</f>
        <v>93083</v>
      </c>
      <c r="O132" s="1473">
        <f t="shared" si="68"/>
        <v>0.87284678788106107</v>
      </c>
      <c r="P132" s="890">
        <f>M132</f>
        <v>106643</v>
      </c>
      <c r="Q132" s="890">
        <f t="shared" si="72"/>
        <v>0</v>
      </c>
      <c r="R132" s="891">
        <f t="shared" si="72"/>
        <v>0</v>
      </c>
      <c r="S132" s="896"/>
      <c r="T132" s="897"/>
      <c r="U132" s="880">
        <f t="shared" si="36"/>
        <v>106643</v>
      </c>
      <c r="V132" s="900"/>
      <c r="W132" s="900"/>
      <c r="AC132" s="513"/>
    </row>
    <row r="133" spans="1:29" s="514" customFormat="1" ht="22.9" customHeight="1" thickBot="1">
      <c r="A133" s="594"/>
      <c r="B133" s="1480" t="s">
        <v>126</v>
      </c>
      <c r="C133" s="1798"/>
      <c r="D133" s="1799"/>
      <c r="E133" s="1799"/>
      <c r="F133" s="1799"/>
      <c r="G133" s="1799"/>
      <c r="H133" s="1799"/>
      <c r="I133" s="1799"/>
      <c r="J133" s="1799"/>
      <c r="K133" s="1799"/>
      <c r="L133" s="1799"/>
      <c r="M133" s="1799"/>
      <c r="N133" s="1799"/>
      <c r="O133" s="1799"/>
      <c r="P133" s="1800"/>
      <c r="Q133" s="1800"/>
      <c r="R133" s="1801"/>
      <c r="S133" s="665"/>
      <c r="T133" s="666"/>
      <c r="U133" s="657"/>
      <c r="AC133" s="515"/>
    </row>
    <row r="134" spans="1:29" s="485" customFormat="1" ht="16.899999999999999" customHeight="1">
      <c r="A134" s="1791" t="s">
        <v>98</v>
      </c>
      <c r="B134" s="516" t="s">
        <v>40</v>
      </c>
      <c r="C134" s="876">
        <v>3016</v>
      </c>
      <c r="D134" s="876"/>
      <c r="E134" s="876">
        <f>C134+D134</f>
        <v>3016</v>
      </c>
      <c r="F134" s="876"/>
      <c r="G134" s="876">
        <f>E134+F134</f>
        <v>3016</v>
      </c>
      <c r="H134" s="876">
        <v>0</v>
      </c>
      <c r="I134" s="876">
        <f t="shared" ref="I134:I145" si="73">G134+H134</f>
        <v>3016</v>
      </c>
      <c r="J134" s="876"/>
      <c r="K134" s="876">
        <f>I134+J134</f>
        <v>3016</v>
      </c>
      <c r="L134" s="876">
        <v>-1200</v>
      </c>
      <c r="M134" s="876">
        <f>K134+L134</f>
        <v>1816</v>
      </c>
      <c r="N134" s="876">
        <v>1353</v>
      </c>
      <c r="O134" s="1468">
        <f>N134/M134</f>
        <v>0.74504405286343611</v>
      </c>
      <c r="P134" s="876">
        <v>0</v>
      </c>
      <c r="Q134" s="876">
        <v>1816</v>
      </c>
      <c r="R134" s="877">
        <v>0</v>
      </c>
      <c r="S134" s="894"/>
      <c r="T134" s="895"/>
      <c r="U134" s="880">
        <f t="shared" ref="U134:U184" si="74">P134+Q134+R134</f>
        <v>1816</v>
      </c>
      <c r="AC134" s="513"/>
    </row>
    <row r="135" spans="1:29" s="485" customFormat="1" ht="30.95" customHeight="1">
      <c r="A135" s="1792"/>
      <c r="B135" s="517" t="s">
        <v>303</v>
      </c>
      <c r="C135" s="881">
        <v>833</v>
      </c>
      <c r="D135" s="881"/>
      <c r="E135" s="876">
        <f>C135+D135</f>
        <v>833</v>
      </c>
      <c r="F135" s="876"/>
      <c r="G135" s="876">
        <f t="shared" ref="G135:G144" si="75">E135+F135</f>
        <v>833</v>
      </c>
      <c r="H135" s="876"/>
      <c r="I135" s="876">
        <f t="shared" si="73"/>
        <v>833</v>
      </c>
      <c r="J135" s="876"/>
      <c r="K135" s="876">
        <f>I135+J135</f>
        <v>833</v>
      </c>
      <c r="L135" s="876">
        <v>-300</v>
      </c>
      <c r="M135" s="876">
        <f>K135+L135</f>
        <v>533</v>
      </c>
      <c r="N135" s="876">
        <v>334</v>
      </c>
      <c r="O135" s="1468">
        <f t="shared" ref="O135:O145" si="76">N135/M135</f>
        <v>0.62664165103189495</v>
      </c>
      <c r="P135" s="881">
        <v>0</v>
      </c>
      <c r="Q135" s="881">
        <v>533</v>
      </c>
      <c r="R135" s="882">
        <v>0</v>
      </c>
      <c r="S135" s="894"/>
      <c r="T135" s="895"/>
      <c r="U135" s="880">
        <f t="shared" si="74"/>
        <v>533</v>
      </c>
      <c r="AC135" s="513"/>
    </row>
    <row r="136" spans="1:29" s="485" customFormat="1" ht="16.899999999999999" customHeight="1">
      <c r="A136" s="1792"/>
      <c r="B136" s="517" t="s">
        <v>132</v>
      </c>
      <c r="C136" s="881">
        <v>6400</v>
      </c>
      <c r="D136" s="881"/>
      <c r="E136" s="876">
        <f>C136+D136</f>
        <v>6400</v>
      </c>
      <c r="F136" s="876"/>
      <c r="G136" s="876">
        <f t="shared" si="75"/>
        <v>6400</v>
      </c>
      <c r="H136" s="876"/>
      <c r="I136" s="876">
        <f t="shared" si="73"/>
        <v>6400</v>
      </c>
      <c r="J136" s="876"/>
      <c r="K136" s="876">
        <f>I136+J136</f>
        <v>6400</v>
      </c>
      <c r="L136" s="876">
        <v>278</v>
      </c>
      <c r="M136" s="876">
        <f>K136+L136</f>
        <v>6678</v>
      </c>
      <c r="N136" s="876">
        <v>6575</v>
      </c>
      <c r="O136" s="1468">
        <f t="shared" si="76"/>
        <v>0.98457622042527704</v>
      </c>
      <c r="P136" s="881">
        <v>0</v>
      </c>
      <c r="Q136" s="881">
        <v>6678</v>
      </c>
      <c r="R136" s="882">
        <v>0</v>
      </c>
      <c r="S136" s="894"/>
      <c r="T136" s="895"/>
      <c r="U136" s="880">
        <f t="shared" si="74"/>
        <v>6678</v>
      </c>
      <c r="AC136" s="513"/>
    </row>
    <row r="137" spans="1:29" s="485" customFormat="1" ht="16.899999999999999" customHeight="1">
      <c r="A137" s="1792"/>
      <c r="B137" s="517" t="s">
        <v>42</v>
      </c>
      <c r="C137" s="881">
        <v>0</v>
      </c>
      <c r="D137" s="881"/>
      <c r="E137" s="876">
        <f>C137+D137</f>
        <v>0</v>
      </c>
      <c r="F137" s="876"/>
      <c r="G137" s="876">
        <f t="shared" si="75"/>
        <v>0</v>
      </c>
      <c r="H137" s="876"/>
      <c r="I137" s="876">
        <f t="shared" si="73"/>
        <v>0</v>
      </c>
      <c r="J137" s="876"/>
      <c r="K137" s="876">
        <f>I137+J137</f>
        <v>0</v>
      </c>
      <c r="L137" s="876"/>
      <c r="M137" s="876">
        <f>K137+L137</f>
        <v>0</v>
      </c>
      <c r="N137" s="876"/>
      <c r="O137" s="1468"/>
      <c r="P137" s="881">
        <v>0</v>
      </c>
      <c r="Q137" s="881">
        <v>0</v>
      </c>
      <c r="R137" s="882">
        <v>0</v>
      </c>
      <c r="S137" s="894"/>
      <c r="T137" s="895"/>
      <c r="U137" s="880">
        <f t="shared" si="74"/>
        <v>0</v>
      </c>
      <c r="AC137" s="513"/>
    </row>
    <row r="138" spans="1:29" s="485" customFormat="1" ht="16.899999999999999" customHeight="1">
      <c r="A138" s="1792"/>
      <c r="B138" s="517" t="s">
        <v>361</v>
      </c>
      <c r="C138" s="881">
        <v>0</v>
      </c>
      <c r="D138" s="881"/>
      <c r="E138" s="876">
        <f>C138+D138</f>
        <v>0</v>
      </c>
      <c r="F138" s="876"/>
      <c r="G138" s="876">
        <f t="shared" si="75"/>
        <v>0</v>
      </c>
      <c r="H138" s="876"/>
      <c r="I138" s="876">
        <f t="shared" si="73"/>
        <v>0</v>
      </c>
      <c r="J138" s="876"/>
      <c r="K138" s="876">
        <f>I138+J138</f>
        <v>0</v>
      </c>
      <c r="L138" s="876"/>
      <c r="M138" s="876">
        <f>K138+L138</f>
        <v>0</v>
      </c>
      <c r="N138" s="876"/>
      <c r="O138" s="1468"/>
      <c r="P138" s="881">
        <v>0</v>
      </c>
      <c r="Q138" s="881">
        <v>0</v>
      </c>
      <c r="R138" s="882">
        <v>0</v>
      </c>
      <c r="S138" s="894"/>
      <c r="T138" s="895"/>
      <c r="U138" s="880">
        <f t="shared" si="74"/>
        <v>0</v>
      </c>
      <c r="AC138" s="513"/>
    </row>
    <row r="139" spans="1:29" s="486" customFormat="1" ht="16.899999999999999" customHeight="1">
      <c r="A139" s="1792"/>
      <c r="B139" s="518" t="s">
        <v>362</v>
      </c>
      <c r="C139" s="883">
        <f t="shared" ref="C139:Q139" si="77">SUM(C134:C138)</f>
        <v>10249</v>
      </c>
      <c r="D139" s="883">
        <f t="shared" si="77"/>
        <v>0</v>
      </c>
      <c r="E139" s="883">
        <f t="shared" si="77"/>
        <v>10249</v>
      </c>
      <c r="F139" s="883">
        <f t="shared" si="77"/>
        <v>0</v>
      </c>
      <c r="G139" s="883">
        <f t="shared" si="77"/>
        <v>10249</v>
      </c>
      <c r="H139" s="883">
        <f>SUM(H134:H138)</f>
        <v>0</v>
      </c>
      <c r="I139" s="901">
        <f t="shared" si="73"/>
        <v>10249</v>
      </c>
      <c r="J139" s="901">
        <f>SUM(J134:J138)</f>
        <v>0</v>
      </c>
      <c r="K139" s="901">
        <f>SUM(K134:K138)</f>
        <v>10249</v>
      </c>
      <c r="L139" s="901">
        <f>SUM(L134:L138)</f>
        <v>-1222</v>
      </c>
      <c r="M139" s="901">
        <f>SUM(M134:M138)</f>
        <v>9027</v>
      </c>
      <c r="N139" s="901">
        <f>SUM(N134:N138)</f>
        <v>8262</v>
      </c>
      <c r="O139" s="1468">
        <f t="shared" si="76"/>
        <v>0.9152542372881356</v>
      </c>
      <c r="P139" s="883">
        <f t="shared" si="77"/>
        <v>0</v>
      </c>
      <c r="Q139" s="883">
        <f t="shared" si="77"/>
        <v>9027</v>
      </c>
      <c r="R139" s="884">
        <f>SUM(R134:R137)</f>
        <v>0</v>
      </c>
      <c r="S139" s="896"/>
      <c r="T139" s="897"/>
      <c r="U139" s="880">
        <f t="shared" si="74"/>
        <v>9027</v>
      </c>
      <c r="AC139" s="513"/>
    </row>
    <row r="140" spans="1:29" s="485" customFormat="1" ht="16.899999999999999" customHeight="1">
      <c r="A140" s="1792"/>
      <c r="B140" s="517" t="s">
        <v>363</v>
      </c>
      <c r="C140" s="881">
        <v>0</v>
      </c>
      <c r="D140" s="881"/>
      <c r="E140" s="881">
        <f>C140+D140</f>
        <v>0</v>
      </c>
      <c r="F140" s="881">
        <v>216</v>
      </c>
      <c r="G140" s="876">
        <f t="shared" si="75"/>
        <v>216</v>
      </c>
      <c r="H140" s="876">
        <v>126</v>
      </c>
      <c r="I140" s="876">
        <f t="shared" si="73"/>
        <v>342</v>
      </c>
      <c r="J140" s="876"/>
      <c r="K140" s="876">
        <f>I140+J140</f>
        <v>342</v>
      </c>
      <c r="L140" s="876">
        <v>5</v>
      </c>
      <c r="M140" s="876">
        <f>K140+L140</f>
        <v>347</v>
      </c>
      <c r="N140" s="876">
        <v>346</v>
      </c>
      <c r="O140" s="1468">
        <f t="shared" si="76"/>
        <v>0.99711815561959649</v>
      </c>
      <c r="P140" s="881">
        <v>0</v>
      </c>
      <c r="Q140" s="881">
        <v>347</v>
      </c>
      <c r="R140" s="882">
        <v>0</v>
      </c>
      <c r="S140" s="894"/>
      <c r="T140" s="895"/>
      <c r="U140" s="880">
        <f t="shared" si="74"/>
        <v>347</v>
      </c>
      <c r="AC140" s="513"/>
    </row>
    <row r="141" spans="1:29" s="485" customFormat="1" ht="16.899999999999999" customHeight="1">
      <c r="A141" s="1792"/>
      <c r="B141" s="517" t="s">
        <v>54</v>
      </c>
      <c r="C141" s="881">
        <v>0</v>
      </c>
      <c r="D141" s="881">
        <v>4425</v>
      </c>
      <c r="E141" s="881">
        <f>C141+D141</f>
        <v>4425</v>
      </c>
      <c r="F141" s="881">
        <v>-216</v>
      </c>
      <c r="G141" s="876">
        <f t="shared" si="75"/>
        <v>4209</v>
      </c>
      <c r="H141" s="876">
        <v>-126</v>
      </c>
      <c r="I141" s="876">
        <f t="shared" si="73"/>
        <v>4083</v>
      </c>
      <c r="J141" s="876"/>
      <c r="K141" s="876">
        <f>I141+J141</f>
        <v>4083</v>
      </c>
      <c r="L141" s="876">
        <v>-283</v>
      </c>
      <c r="M141" s="876">
        <f>K141+L141</f>
        <v>3800</v>
      </c>
      <c r="N141" s="1612">
        <v>0</v>
      </c>
      <c r="O141" s="1468">
        <f t="shared" si="76"/>
        <v>0</v>
      </c>
      <c r="P141" s="881">
        <v>0</v>
      </c>
      <c r="Q141" s="881">
        <v>3800</v>
      </c>
      <c r="R141" s="882">
        <v>0</v>
      </c>
      <c r="S141" s="894"/>
      <c r="T141" s="895"/>
      <c r="U141" s="880">
        <f t="shared" si="74"/>
        <v>3800</v>
      </c>
      <c r="AC141" s="513"/>
    </row>
    <row r="142" spans="1:29" s="485" customFormat="1" ht="16.899999999999999" customHeight="1">
      <c r="A142" s="1792"/>
      <c r="B142" s="517" t="s">
        <v>364</v>
      </c>
      <c r="C142" s="881">
        <v>0</v>
      </c>
      <c r="D142" s="881"/>
      <c r="E142" s="881">
        <f>C142+D142</f>
        <v>0</v>
      </c>
      <c r="F142" s="881"/>
      <c r="G142" s="876">
        <f t="shared" si="75"/>
        <v>0</v>
      </c>
      <c r="H142" s="876"/>
      <c r="I142" s="876">
        <f t="shared" si="73"/>
        <v>0</v>
      </c>
      <c r="J142" s="876"/>
      <c r="K142" s="876">
        <f>I142+J142</f>
        <v>0</v>
      </c>
      <c r="L142" s="876"/>
      <c r="M142" s="876">
        <f>K142+L142</f>
        <v>0</v>
      </c>
      <c r="N142" s="876"/>
      <c r="O142" s="1468"/>
      <c r="P142" s="881">
        <v>0</v>
      </c>
      <c r="Q142" s="881">
        <v>0</v>
      </c>
      <c r="R142" s="882">
        <v>0</v>
      </c>
      <c r="S142" s="894"/>
      <c r="T142" s="895"/>
      <c r="U142" s="880">
        <f t="shared" si="74"/>
        <v>0</v>
      </c>
      <c r="AC142" s="513"/>
    </row>
    <row r="143" spans="1:29" s="486" customFormat="1" ht="16.899999999999999" customHeight="1">
      <c r="A143" s="1792"/>
      <c r="B143" s="518" t="s">
        <v>365</v>
      </c>
      <c r="C143" s="883">
        <f t="shared" ref="C143:R143" si="78">SUM(C140:C142)</f>
        <v>0</v>
      </c>
      <c r="D143" s="883">
        <f t="shared" si="78"/>
        <v>4425</v>
      </c>
      <c r="E143" s="883">
        <f t="shared" si="78"/>
        <v>4425</v>
      </c>
      <c r="F143" s="883">
        <f t="shared" si="78"/>
        <v>0</v>
      </c>
      <c r="G143" s="883">
        <f t="shared" si="78"/>
        <v>4425</v>
      </c>
      <c r="H143" s="883">
        <f>SUM(H140:H142)</f>
        <v>0</v>
      </c>
      <c r="I143" s="901">
        <f t="shared" si="73"/>
        <v>4425</v>
      </c>
      <c r="J143" s="901">
        <f>SUM(J140:J142)</f>
        <v>0</v>
      </c>
      <c r="K143" s="901">
        <f>SUM(K140:K142)</f>
        <v>4425</v>
      </c>
      <c r="L143" s="901">
        <f>SUM(L140:L142)</f>
        <v>-278</v>
      </c>
      <c r="M143" s="901">
        <f>SUM(M140:M142)</f>
        <v>4147</v>
      </c>
      <c r="N143" s="901">
        <f>SUM(N140:N142)</f>
        <v>346</v>
      </c>
      <c r="O143" s="1468">
        <f t="shared" si="76"/>
        <v>8.34338075717386E-2</v>
      </c>
      <c r="P143" s="883">
        <f t="shared" si="78"/>
        <v>0</v>
      </c>
      <c r="Q143" s="883">
        <f t="shared" si="78"/>
        <v>4147</v>
      </c>
      <c r="R143" s="884">
        <f t="shared" si="78"/>
        <v>0</v>
      </c>
      <c r="S143" s="896"/>
      <c r="T143" s="897"/>
      <c r="U143" s="880">
        <f t="shared" si="74"/>
        <v>4147</v>
      </c>
      <c r="AC143" s="513"/>
    </row>
    <row r="144" spans="1:29" s="485" customFormat="1" ht="16.899999999999999" customHeight="1" thickBot="1">
      <c r="A144" s="1792"/>
      <c r="B144" s="658" t="s">
        <v>138</v>
      </c>
      <c r="C144" s="887"/>
      <c r="D144" s="887"/>
      <c r="E144" s="887">
        <f>C144+D144</f>
        <v>0</v>
      </c>
      <c r="F144" s="887"/>
      <c r="G144" s="1290">
        <f t="shared" si="75"/>
        <v>0</v>
      </c>
      <c r="H144" s="1290"/>
      <c r="I144" s="1290">
        <f t="shared" si="73"/>
        <v>0</v>
      </c>
      <c r="J144" s="1290"/>
      <c r="K144" s="1290">
        <f>I144+J144</f>
        <v>0</v>
      </c>
      <c r="L144" s="1290"/>
      <c r="M144" s="1290">
        <f>K144+L144</f>
        <v>0</v>
      </c>
      <c r="N144" s="1290"/>
      <c r="O144" s="1472"/>
      <c r="P144" s="887"/>
      <c r="Q144" s="888"/>
      <c r="R144" s="889"/>
      <c r="S144" s="894"/>
      <c r="T144" s="895"/>
      <c r="U144" s="880">
        <f t="shared" si="74"/>
        <v>0</v>
      </c>
      <c r="AC144" s="513"/>
    </row>
    <row r="145" spans="1:29" s="486" customFormat="1" ht="16.899999999999999" customHeight="1" thickBot="1">
      <c r="A145" s="1794"/>
      <c r="B145" s="659" t="s">
        <v>133</v>
      </c>
      <c r="C145" s="890">
        <f t="shared" ref="C145:R145" si="79">C139+C143+C144</f>
        <v>10249</v>
      </c>
      <c r="D145" s="890">
        <f t="shared" si="79"/>
        <v>4425</v>
      </c>
      <c r="E145" s="890">
        <f t="shared" si="79"/>
        <v>14674</v>
      </c>
      <c r="F145" s="890">
        <f t="shared" si="79"/>
        <v>0</v>
      </c>
      <c r="G145" s="890">
        <f t="shared" si="79"/>
        <v>14674</v>
      </c>
      <c r="H145" s="890">
        <f>H139+H143+H144</f>
        <v>0</v>
      </c>
      <c r="I145" s="890">
        <f t="shared" si="73"/>
        <v>14674</v>
      </c>
      <c r="J145" s="890">
        <f>J139+J143+J144</f>
        <v>0</v>
      </c>
      <c r="K145" s="890">
        <f>K139+K143+K144</f>
        <v>14674</v>
      </c>
      <c r="L145" s="890">
        <f>L139+L143+L144</f>
        <v>-1500</v>
      </c>
      <c r="M145" s="890">
        <f>M139+M143+M144</f>
        <v>13174</v>
      </c>
      <c r="N145" s="890">
        <f>N139+N143+N144</f>
        <v>8608</v>
      </c>
      <c r="O145" s="1473">
        <f t="shared" si="76"/>
        <v>0.65340822832852585</v>
      </c>
      <c r="P145" s="890">
        <f t="shared" si="79"/>
        <v>0</v>
      </c>
      <c r="Q145" s="890">
        <f t="shared" si="79"/>
        <v>13174</v>
      </c>
      <c r="R145" s="891">
        <f t="shared" si="79"/>
        <v>0</v>
      </c>
      <c r="S145" s="896"/>
      <c r="T145" s="897"/>
      <c r="U145" s="880">
        <f t="shared" si="74"/>
        <v>13174</v>
      </c>
      <c r="AC145" s="513"/>
    </row>
    <row r="146" spans="1:29" s="357" customFormat="1" ht="22.9" customHeight="1" thickBot="1">
      <c r="A146" s="667"/>
      <c r="B146" s="668" t="s">
        <v>282</v>
      </c>
      <c r="C146" s="1802"/>
      <c r="D146" s="1803"/>
      <c r="E146" s="1803"/>
      <c r="F146" s="1803"/>
      <c r="G146" s="1803"/>
      <c r="H146" s="1803"/>
      <c r="I146" s="1803"/>
      <c r="J146" s="1803"/>
      <c r="K146" s="1803"/>
      <c r="L146" s="1803"/>
      <c r="M146" s="1803"/>
      <c r="N146" s="1803"/>
      <c r="O146" s="1803"/>
      <c r="P146" s="1800"/>
      <c r="Q146" s="1800"/>
      <c r="R146" s="1801"/>
      <c r="S146" s="669"/>
      <c r="T146" s="670"/>
      <c r="U146" s="657"/>
    </row>
    <row r="147" spans="1:29" s="104" customFormat="1" ht="16.899999999999999" customHeight="1">
      <c r="A147" s="1804"/>
      <c r="B147" s="1463" t="s">
        <v>40</v>
      </c>
      <c r="C147" s="876">
        <v>48191</v>
      </c>
      <c r="D147" s="876">
        <v>722</v>
      </c>
      <c r="E147" s="876">
        <f>C147+D147</f>
        <v>48913</v>
      </c>
      <c r="F147" s="876">
        <v>390</v>
      </c>
      <c r="G147" s="876">
        <f>E147+F147</f>
        <v>49303</v>
      </c>
      <c r="H147" s="876">
        <v>240</v>
      </c>
      <c r="I147" s="876">
        <f t="shared" ref="I147:I158" si="80">G147+H147</f>
        <v>49543</v>
      </c>
      <c r="J147" s="876">
        <v>119</v>
      </c>
      <c r="K147" s="876">
        <f>I147+J147</f>
        <v>49662</v>
      </c>
      <c r="L147" s="876">
        <f>122+50-40</f>
        <v>132</v>
      </c>
      <c r="M147" s="876">
        <f>K147+L147</f>
        <v>49794</v>
      </c>
      <c r="N147" s="876">
        <v>49420</v>
      </c>
      <c r="O147" s="1468">
        <f>N147/M147</f>
        <v>0.99248905490621364</v>
      </c>
      <c r="P147" s="876">
        <f>M147</f>
        <v>49794</v>
      </c>
      <c r="Q147" s="876">
        <v>0</v>
      </c>
      <c r="R147" s="877">
        <v>0</v>
      </c>
      <c r="S147" s="878"/>
      <c r="T147" s="892"/>
      <c r="U147" s="880">
        <f t="shared" si="74"/>
        <v>49794</v>
      </c>
    </row>
    <row r="148" spans="1:29" s="104" customFormat="1" ht="30.95" customHeight="1">
      <c r="A148" s="1805"/>
      <c r="B148" s="1464" t="s">
        <v>303</v>
      </c>
      <c r="C148" s="881">
        <v>13342</v>
      </c>
      <c r="D148" s="881">
        <v>196</v>
      </c>
      <c r="E148" s="876">
        <f>C148+D148</f>
        <v>13538</v>
      </c>
      <c r="F148" s="876">
        <v>105</v>
      </c>
      <c r="G148" s="876">
        <f t="shared" ref="G148:G157" si="81">E148+F148</f>
        <v>13643</v>
      </c>
      <c r="H148" s="876">
        <v>65</v>
      </c>
      <c r="I148" s="876">
        <f t="shared" si="80"/>
        <v>13708</v>
      </c>
      <c r="J148" s="876">
        <v>32</v>
      </c>
      <c r="K148" s="876">
        <f>I148+J148</f>
        <v>13740</v>
      </c>
      <c r="L148" s="876">
        <f>33+40</f>
        <v>73</v>
      </c>
      <c r="M148" s="876">
        <f>K148+L148</f>
        <v>13813</v>
      </c>
      <c r="N148" s="876">
        <v>13818</v>
      </c>
      <c r="O148" s="1468">
        <f t="shared" ref="O148:O158" si="82">N148/M148</f>
        <v>1.0003619778469557</v>
      </c>
      <c r="P148" s="876">
        <f t="shared" ref="P148:P151" si="83">M148</f>
        <v>13813</v>
      </c>
      <c r="Q148" s="881">
        <v>0</v>
      </c>
      <c r="R148" s="882">
        <v>0</v>
      </c>
      <c r="S148" s="878"/>
      <c r="T148" s="892"/>
      <c r="U148" s="880">
        <f t="shared" si="74"/>
        <v>13813</v>
      </c>
    </row>
    <row r="149" spans="1:29" s="104" customFormat="1" ht="16.899999999999999" customHeight="1">
      <c r="A149" s="1805"/>
      <c r="B149" s="1464" t="s">
        <v>132</v>
      </c>
      <c r="C149" s="881">
        <v>102340</v>
      </c>
      <c r="D149" s="881">
        <v>-101</v>
      </c>
      <c r="E149" s="876">
        <f>C149+D149</f>
        <v>102239</v>
      </c>
      <c r="F149" s="876">
        <v>-20</v>
      </c>
      <c r="G149" s="876">
        <f t="shared" si="81"/>
        <v>102219</v>
      </c>
      <c r="H149" s="876">
        <v>-100</v>
      </c>
      <c r="I149" s="876">
        <f t="shared" si="80"/>
        <v>102119</v>
      </c>
      <c r="J149" s="876"/>
      <c r="K149" s="876">
        <f>I149+J149</f>
        <v>102119</v>
      </c>
      <c r="L149" s="876">
        <v>-3800</v>
      </c>
      <c r="M149" s="876">
        <f>K149+L149</f>
        <v>98319</v>
      </c>
      <c r="N149" s="876">
        <v>80680</v>
      </c>
      <c r="O149" s="1468">
        <f t="shared" si="82"/>
        <v>0.82059418830541397</v>
      </c>
      <c r="P149" s="876">
        <f t="shared" si="83"/>
        <v>98319</v>
      </c>
      <c r="Q149" s="881">
        <v>0</v>
      </c>
      <c r="R149" s="882">
        <v>0</v>
      </c>
      <c r="S149" s="878"/>
      <c r="T149" s="892"/>
      <c r="U149" s="880">
        <f t="shared" si="74"/>
        <v>98319</v>
      </c>
    </row>
    <row r="150" spans="1:29" s="104" customFormat="1" ht="16.899999999999999" customHeight="1">
      <c r="A150" s="1805"/>
      <c r="B150" s="1464" t="s">
        <v>42</v>
      </c>
      <c r="C150" s="881">
        <v>0</v>
      </c>
      <c r="D150" s="881"/>
      <c r="E150" s="876">
        <f>C150+D150</f>
        <v>0</v>
      </c>
      <c r="F150" s="876"/>
      <c r="G150" s="876">
        <f t="shared" si="81"/>
        <v>0</v>
      </c>
      <c r="H150" s="876"/>
      <c r="I150" s="876">
        <f t="shared" si="80"/>
        <v>0</v>
      </c>
      <c r="J150" s="876"/>
      <c r="K150" s="876">
        <f>I150+J150</f>
        <v>0</v>
      </c>
      <c r="L150" s="876"/>
      <c r="M150" s="876">
        <f>K150+L150</f>
        <v>0</v>
      </c>
      <c r="N150" s="876"/>
      <c r="O150" s="1468"/>
      <c r="P150" s="876">
        <f t="shared" si="83"/>
        <v>0</v>
      </c>
      <c r="Q150" s="881">
        <v>0</v>
      </c>
      <c r="R150" s="882">
        <v>0</v>
      </c>
      <c r="S150" s="878"/>
      <c r="T150" s="892"/>
      <c r="U150" s="880">
        <f t="shared" si="74"/>
        <v>0</v>
      </c>
    </row>
    <row r="151" spans="1:29" s="104" customFormat="1" ht="16.899999999999999" customHeight="1">
      <c r="A151" s="1805"/>
      <c r="B151" s="1464" t="s">
        <v>361</v>
      </c>
      <c r="C151" s="881">
        <v>0</v>
      </c>
      <c r="D151" s="881"/>
      <c r="E151" s="876">
        <f>C151+D151</f>
        <v>0</v>
      </c>
      <c r="F151" s="876"/>
      <c r="G151" s="876">
        <f t="shared" si="81"/>
        <v>0</v>
      </c>
      <c r="H151" s="876"/>
      <c r="I151" s="876">
        <f t="shared" si="80"/>
        <v>0</v>
      </c>
      <c r="J151" s="876"/>
      <c r="K151" s="876">
        <f>I151+J151</f>
        <v>0</v>
      </c>
      <c r="L151" s="876"/>
      <c r="M151" s="876">
        <f>K151+L151</f>
        <v>0</v>
      </c>
      <c r="N151" s="876"/>
      <c r="O151" s="1468"/>
      <c r="P151" s="876">
        <f t="shared" si="83"/>
        <v>0</v>
      </c>
      <c r="Q151" s="881">
        <v>0</v>
      </c>
      <c r="R151" s="882">
        <v>0</v>
      </c>
      <c r="S151" s="878"/>
      <c r="T151" s="892"/>
      <c r="U151" s="880">
        <f t="shared" si="74"/>
        <v>0</v>
      </c>
    </row>
    <row r="152" spans="1:29" s="484" customFormat="1" ht="16.899999999999999" customHeight="1">
      <c r="A152" s="1805"/>
      <c r="B152" s="1465" t="s">
        <v>362</v>
      </c>
      <c r="C152" s="883">
        <f t="shared" ref="C152:H152" si="84">SUM(C147:C151)</f>
        <v>163873</v>
      </c>
      <c r="D152" s="883">
        <f t="shared" si="84"/>
        <v>817</v>
      </c>
      <c r="E152" s="883">
        <f t="shared" si="84"/>
        <v>164690</v>
      </c>
      <c r="F152" s="883">
        <f t="shared" si="84"/>
        <v>475</v>
      </c>
      <c r="G152" s="883">
        <f t="shared" si="84"/>
        <v>165165</v>
      </c>
      <c r="H152" s="883">
        <f t="shared" si="84"/>
        <v>205</v>
      </c>
      <c r="I152" s="901">
        <f t="shared" si="80"/>
        <v>165370</v>
      </c>
      <c r="J152" s="901">
        <f>SUM(J147:J151)</f>
        <v>151</v>
      </c>
      <c r="K152" s="901">
        <f>SUM(K147:K151)</f>
        <v>165521</v>
      </c>
      <c r="L152" s="901">
        <f>SUM(L147:L151)</f>
        <v>-3595</v>
      </c>
      <c r="M152" s="901">
        <f>SUM(M147:M151)</f>
        <v>161926</v>
      </c>
      <c r="N152" s="901">
        <f>SUM(N147:N151)</f>
        <v>143918</v>
      </c>
      <c r="O152" s="1468">
        <f t="shared" si="82"/>
        <v>0.88878870595210158</v>
      </c>
      <c r="P152" s="901">
        <f>M152</f>
        <v>161926</v>
      </c>
      <c r="Q152" s="883">
        <f>SUM(Q147:Q151)</f>
        <v>0</v>
      </c>
      <c r="R152" s="884">
        <f>SUM(R147:R151)</f>
        <v>0</v>
      </c>
      <c r="S152" s="885"/>
      <c r="T152" s="893"/>
      <c r="U152" s="880">
        <f t="shared" si="74"/>
        <v>161926</v>
      </c>
    </row>
    <row r="153" spans="1:29" s="104" customFormat="1" ht="16.899999999999999" customHeight="1">
      <c r="A153" s="1805"/>
      <c r="B153" s="1464" t="s">
        <v>363</v>
      </c>
      <c r="C153" s="881">
        <v>0</v>
      </c>
      <c r="D153" s="881">
        <v>101</v>
      </c>
      <c r="E153" s="881">
        <f>C153+D153</f>
        <v>101</v>
      </c>
      <c r="F153" s="876">
        <v>20</v>
      </c>
      <c r="G153" s="876">
        <v>121</v>
      </c>
      <c r="H153" s="876">
        <v>100</v>
      </c>
      <c r="I153" s="876">
        <f t="shared" si="80"/>
        <v>221</v>
      </c>
      <c r="J153" s="876"/>
      <c r="K153" s="876">
        <f>I153+J153</f>
        <v>221</v>
      </c>
      <c r="L153" s="876">
        <v>145</v>
      </c>
      <c r="M153" s="876">
        <f>K153+L153</f>
        <v>366</v>
      </c>
      <c r="N153" s="876">
        <v>366</v>
      </c>
      <c r="O153" s="1468">
        <f t="shared" si="82"/>
        <v>1</v>
      </c>
      <c r="P153" s="876">
        <f>M153</f>
        <v>366</v>
      </c>
      <c r="Q153" s="881">
        <v>0</v>
      </c>
      <c r="R153" s="882">
        <v>0</v>
      </c>
      <c r="S153" s="878"/>
      <c r="T153" s="892"/>
      <c r="U153" s="880">
        <f t="shared" si="74"/>
        <v>366</v>
      </c>
    </row>
    <row r="154" spans="1:29" s="104" customFormat="1" ht="16.899999999999999" customHeight="1">
      <c r="A154" s="1805"/>
      <c r="B154" s="1464" t="s">
        <v>54</v>
      </c>
      <c r="C154" s="881">
        <v>0</v>
      </c>
      <c r="D154" s="881">
        <v>8000</v>
      </c>
      <c r="E154" s="881">
        <f>C154+D154</f>
        <v>8000</v>
      </c>
      <c r="F154" s="876"/>
      <c r="G154" s="876">
        <f t="shared" si="81"/>
        <v>8000</v>
      </c>
      <c r="H154" s="876"/>
      <c r="I154" s="876">
        <f t="shared" si="80"/>
        <v>8000</v>
      </c>
      <c r="J154" s="876"/>
      <c r="K154" s="876">
        <f>I154+J154</f>
        <v>8000</v>
      </c>
      <c r="L154" s="876">
        <v>-145</v>
      </c>
      <c r="M154" s="876">
        <f>K154+L154</f>
        <v>7855</v>
      </c>
      <c r="N154" s="876">
        <v>5017</v>
      </c>
      <c r="O154" s="1468">
        <f t="shared" si="82"/>
        <v>0.63870146403564609</v>
      </c>
      <c r="P154" s="876">
        <f t="shared" ref="P154:P155" si="85">M154</f>
        <v>7855</v>
      </c>
      <c r="Q154" s="881">
        <v>0</v>
      </c>
      <c r="R154" s="882">
        <v>0</v>
      </c>
      <c r="S154" s="878"/>
      <c r="T154" s="892"/>
      <c r="U154" s="880">
        <f t="shared" si="74"/>
        <v>7855</v>
      </c>
    </row>
    <row r="155" spans="1:29" s="104" customFormat="1" ht="16.899999999999999" customHeight="1">
      <c r="A155" s="1805"/>
      <c r="B155" s="1464" t="s">
        <v>364</v>
      </c>
      <c r="C155" s="881">
        <v>0</v>
      </c>
      <c r="D155" s="881"/>
      <c r="E155" s="881">
        <f>C155+D155</f>
        <v>0</v>
      </c>
      <c r="F155" s="876"/>
      <c r="G155" s="876">
        <f t="shared" si="81"/>
        <v>0</v>
      </c>
      <c r="H155" s="876"/>
      <c r="I155" s="876">
        <f t="shared" si="80"/>
        <v>0</v>
      </c>
      <c r="J155" s="876"/>
      <c r="K155" s="876">
        <f>I155+J155</f>
        <v>0</v>
      </c>
      <c r="L155" s="876"/>
      <c r="M155" s="876">
        <f>K155+L155</f>
        <v>0</v>
      </c>
      <c r="N155" s="876"/>
      <c r="O155" s="1468"/>
      <c r="P155" s="876">
        <f t="shared" si="85"/>
        <v>0</v>
      </c>
      <c r="Q155" s="881">
        <v>0</v>
      </c>
      <c r="R155" s="882">
        <v>0</v>
      </c>
      <c r="S155" s="878"/>
      <c r="T155" s="892"/>
      <c r="U155" s="880">
        <f t="shared" si="74"/>
        <v>0</v>
      </c>
    </row>
    <row r="156" spans="1:29" s="484" customFormat="1" ht="16.899999999999999" customHeight="1">
      <c r="A156" s="1805"/>
      <c r="B156" s="1465" t="s">
        <v>365</v>
      </c>
      <c r="C156" s="883">
        <f t="shared" ref="C156:H156" si="86">SUM(C153:C155)</f>
        <v>0</v>
      </c>
      <c r="D156" s="883">
        <f t="shared" si="86"/>
        <v>8101</v>
      </c>
      <c r="E156" s="883">
        <f t="shared" si="86"/>
        <v>8101</v>
      </c>
      <c r="F156" s="883">
        <f t="shared" si="86"/>
        <v>20</v>
      </c>
      <c r="G156" s="883">
        <f t="shared" si="86"/>
        <v>8121</v>
      </c>
      <c r="H156" s="883">
        <f t="shared" si="86"/>
        <v>100</v>
      </c>
      <c r="I156" s="901">
        <f t="shared" si="80"/>
        <v>8221</v>
      </c>
      <c r="J156" s="901">
        <f>SUM(J153:J155)</f>
        <v>0</v>
      </c>
      <c r="K156" s="901">
        <f>SUM(K153:K155)</f>
        <v>8221</v>
      </c>
      <c r="L156" s="901">
        <f>SUM(L153:L155)</f>
        <v>0</v>
      </c>
      <c r="M156" s="901">
        <f>SUM(M153:M155)</f>
        <v>8221</v>
      </c>
      <c r="N156" s="901">
        <f>SUM(N153:N155)</f>
        <v>5383</v>
      </c>
      <c r="O156" s="1468">
        <f t="shared" si="82"/>
        <v>0.65478652232088552</v>
      </c>
      <c r="P156" s="901">
        <f>M156</f>
        <v>8221</v>
      </c>
      <c r="Q156" s="883">
        <f>SUM(Q153:Q155)</f>
        <v>0</v>
      </c>
      <c r="R156" s="884">
        <f>SUM(R153:R155)</f>
        <v>0</v>
      </c>
      <c r="S156" s="885"/>
      <c r="T156" s="893"/>
      <c r="U156" s="880">
        <f t="shared" si="74"/>
        <v>8221</v>
      </c>
    </row>
    <row r="157" spans="1:29" s="104" customFormat="1" ht="16.899999999999999" customHeight="1" thickBot="1">
      <c r="A157" s="1805"/>
      <c r="B157" s="1466" t="s">
        <v>138</v>
      </c>
      <c r="C157" s="887"/>
      <c r="D157" s="887"/>
      <c r="E157" s="887">
        <f>C157+D157</f>
        <v>0</v>
      </c>
      <c r="F157" s="887"/>
      <c r="G157" s="1290">
        <f t="shared" si="81"/>
        <v>0</v>
      </c>
      <c r="H157" s="1290"/>
      <c r="I157" s="1290">
        <f t="shared" si="80"/>
        <v>0</v>
      </c>
      <c r="J157" s="1290"/>
      <c r="K157" s="1290">
        <f>I157+J157</f>
        <v>0</v>
      </c>
      <c r="L157" s="1290"/>
      <c r="M157" s="1290">
        <f>K157+L157</f>
        <v>0</v>
      </c>
      <c r="N157" s="1290"/>
      <c r="O157" s="1472"/>
      <c r="P157" s="1462">
        <f t="shared" ref="P157" si="87">K157</f>
        <v>0</v>
      </c>
      <c r="Q157" s="888"/>
      <c r="R157" s="889"/>
      <c r="S157" s="878"/>
      <c r="T157" s="892"/>
      <c r="U157" s="880">
        <f t="shared" si="74"/>
        <v>0</v>
      </c>
    </row>
    <row r="158" spans="1:29" s="484" customFormat="1" ht="16.899999999999999" customHeight="1" thickBot="1">
      <c r="A158" s="1806"/>
      <c r="B158" s="1467" t="s">
        <v>133</v>
      </c>
      <c r="C158" s="890">
        <f t="shared" ref="C158:R158" si="88">C152+C156+C157</f>
        <v>163873</v>
      </c>
      <c r="D158" s="890">
        <f t="shared" si="88"/>
        <v>8918</v>
      </c>
      <c r="E158" s="890">
        <f t="shared" si="88"/>
        <v>172791</v>
      </c>
      <c r="F158" s="890">
        <f t="shared" si="88"/>
        <v>495</v>
      </c>
      <c r="G158" s="890">
        <f t="shared" si="88"/>
        <v>173286</v>
      </c>
      <c r="H158" s="890">
        <f>H152+H156+H157</f>
        <v>305</v>
      </c>
      <c r="I158" s="890">
        <f t="shared" si="80"/>
        <v>173591</v>
      </c>
      <c r="J158" s="1335">
        <f>J152+J156+J157</f>
        <v>151</v>
      </c>
      <c r="K158" s="1335">
        <f>K152+K156+K157</f>
        <v>173742</v>
      </c>
      <c r="L158" s="1335">
        <f>L152+L156+L157</f>
        <v>-3595</v>
      </c>
      <c r="M158" s="1300">
        <f>M152+M156+M157</f>
        <v>170147</v>
      </c>
      <c r="N158" s="1300">
        <f>N152+N156+N157</f>
        <v>149301</v>
      </c>
      <c r="O158" s="1473">
        <f t="shared" si="82"/>
        <v>0.87748241226703971</v>
      </c>
      <c r="P158" s="901">
        <f>M158</f>
        <v>170147</v>
      </c>
      <c r="Q158" s="890">
        <f t="shared" si="88"/>
        <v>0</v>
      </c>
      <c r="R158" s="891">
        <f t="shared" si="88"/>
        <v>0</v>
      </c>
      <c r="S158" s="885"/>
      <c r="T158" s="893"/>
      <c r="U158" s="880">
        <f t="shared" si="74"/>
        <v>170147</v>
      </c>
    </row>
    <row r="159" spans="1:29" s="357" customFormat="1" ht="22.9" customHeight="1" thickBot="1">
      <c r="A159" s="667"/>
      <c r="B159" s="668" t="s">
        <v>283</v>
      </c>
      <c r="C159" s="1802"/>
      <c r="D159" s="1803"/>
      <c r="E159" s="1803"/>
      <c r="F159" s="1803"/>
      <c r="G159" s="1803"/>
      <c r="H159" s="1803"/>
      <c r="I159" s="1803"/>
      <c r="J159" s="1803"/>
      <c r="K159" s="1803"/>
      <c r="L159" s="1803"/>
      <c r="M159" s="1803"/>
      <c r="N159" s="1803"/>
      <c r="O159" s="1803"/>
      <c r="P159" s="1800"/>
      <c r="Q159" s="1800"/>
      <c r="R159" s="1801"/>
      <c r="S159" s="669"/>
      <c r="T159" s="670"/>
      <c r="U159" s="657"/>
    </row>
    <row r="160" spans="1:29" s="104" customFormat="1" ht="16.899999999999999" customHeight="1">
      <c r="A160" s="1804"/>
      <c r="B160" s="516" t="s">
        <v>40</v>
      </c>
      <c r="C160" s="876">
        <v>24365</v>
      </c>
      <c r="D160" s="876">
        <v>332</v>
      </c>
      <c r="E160" s="876">
        <f>C160+D160</f>
        <v>24697</v>
      </c>
      <c r="F160" s="876">
        <v>184</v>
      </c>
      <c r="G160" s="876">
        <f>E160+F160</f>
        <v>24881</v>
      </c>
      <c r="H160" s="876">
        <v>110</v>
      </c>
      <c r="I160" s="876">
        <f t="shared" ref="I160:I171" si="89">G160+H160</f>
        <v>24991</v>
      </c>
      <c r="J160" s="876">
        <v>54</v>
      </c>
      <c r="K160" s="876">
        <f>I160+J160</f>
        <v>25045</v>
      </c>
      <c r="L160" s="876">
        <f>56+1200</f>
        <v>1256</v>
      </c>
      <c r="M160" s="876">
        <f>K160+L160</f>
        <v>26301</v>
      </c>
      <c r="N160" s="876">
        <v>26178</v>
      </c>
      <c r="O160" s="1468">
        <f>N160/M160</f>
        <v>0.99532337173491503</v>
      </c>
      <c r="P160" s="876">
        <f>M160</f>
        <v>26301</v>
      </c>
      <c r="Q160" s="876">
        <v>0</v>
      </c>
      <c r="R160" s="877">
        <v>0</v>
      </c>
      <c r="S160" s="902"/>
      <c r="T160" s="903"/>
      <c r="U160" s="880">
        <f t="shared" si="74"/>
        <v>26301</v>
      </c>
    </row>
    <row r="161" spans="1:21" s="104" customFormat="1" ht="30.95" customHeight="1">
      <c r="A161" s="1805"/>
      <c r="B161" s="517" t="s">
        <v>303</v>
      </c>
      <c r="C161" s="881">
        <v>6694</v>
      </c>
      <c r="D161" s="881">
        <v>90</v>
      </c>
      <c r="E161" s="876">
        <f>C161+D161</f>
        <v>6784</v>
      </c>
      <c r="F161" s="876">
        <v>50</v>
      </c>
      <c r="G161" s="876">
        <f t="shared" ref="G161:G170" si="90">E161+F161</f>
        <v>6834</v>
      </c>
      <c r="H161" s="876">
        <v>30</v>
      </c>
      <c r="I161" s="876">
        <f t="shared" si="89"/>
        <v>6864</v>
      </c>
      <c r="J161" s="876">
        <v>15</v>
      </c>
      <c r="K161" s="876">
        <f>I161+J161</f>
        <v>6879</v>
      </c>
      <c r="L161" s="876">
        <f>15+300</f>
        <v>315</v>
      </c>
      <c r="M161" s="876">
        <f>K161+L161</f>
        <v>7194</v>
      </c>
      <c r="N161" s="876">
        <v>7184</v>
      </c>
      <c r="O161" s="1468">
        <f t="shared" ref="O161:O171" si="91">N161/M161</f>
        <v>0.99860995273839315</v>
      </c>
      <c r="P161" s="876">
        <f t="shared" ref="P161:P170" si="92">M161</f>
        <v>7194</v>
      </c>
      <c r="Q161" s="881">
        <v>0</v>
      </c>
      <c r="R161" s="882">
        <v>0</v>
      </c>
      <c r="S161" s="902"/>
      <c r="T161" s="903"/>
      <c r="U161" s="880">
        <f t="shared" si="74"/>
        <v>7194</v>
      </c>
    </row>
    <row r="162" spans="1:21" s="104" customFormat="1" ht="16.899999999999999" customHeight="1">
      <c r="A162" s="1805"/>
      <c r="B162" s="517" t="s">
        <v>132</v>
      </c>
      <c r="C162" s="881">
        <v>78200</v>
      </c>
      <c r="D162" s="881">
        <v>-48</v>
      </c>
      <c r="E162" s="876">
        <f>C162+D162</f>
        <v>78152</v>
      </c>
      <c r="F162" s="876"/>
      <c r="G162" s="876">
        <f t="shared" si="90"/>
        <v>78152</v>
      </c>
      <c r="H162" s="876"/>
      <c r="I162" s="876">
        <f t="shared" si="89"/>
        <v>78152</v>
      </c>
      <c r="J162" s="876"/>
      <c r="K162" s="876">
        <f>I162+J162</f>
        <v>78152</v>
      </c>
      <c r="L162" s="876">
        <f>1100+3150+3800</f>
        <v>8050</v>
      </c>
      <c r="M162" s="876">
        <f>K162+L162</f>
        <v>86202</v>
      </c>
      <c r="N162" s="876">
        <v>86308</v>
      </c>
      <c r="O162" s="1468">
        <f t="shared" si="91"/>
        <v>1.0012296698452472</v>
      </c>
      <c r="P162" s="876">
        <f t="shared" si="92"/>
        <v>86202</v>
      </c>
      <c r="Q162" s="881">
        <v>0</v>
      </c>
      <c r="R162" s="882">
        <v>0</v>
      </c>
      <c r="S162" s="902"/>
      <c r="T162" s="903"/>
      <c r="U162" s="880">
        <f t="shared" si="74"/>
        <v>86202</v>
      </c>
    </row>
    <row r="163" spans="1:21" s="104" customFormat="1" ht="16.899999999999999" customHeight="1">
      <c r="A163" s="1805"/>
      <c r="B163" s="517" t="s">
        <v>42</v>
      </c>
      <c r="C163" s="881">
        <v>0</v>
      </c>
      <c r="D163" s="881"/>
      <c r="E163" s="876">
        <f>C163+D163</f>
        <v>0</v>
      </c>
      <c r="F163" s="876"/>
      <c r="G163" s="876">
        <f t="shared" si="90"/>
        <v>0</v>
      </c>
      <c r="H163" s="876"/>
      <c r="I163" s="876">
        <f t="shared" si="89"/>
        <v>0</v>
      </c>
      <c r="J163" s="876"/>
      <c r="K163" s="876">
        <f>I163+J163</f>
        <v>0</v>
      </c>
      <c r="L163" s="876"/>
      <c r="M163" s="876">
        <f>K163+L163</f>
        <v>0</v>
      </c>
      <c r="N163" s="876"/>
      <c r="O163" s="1468"/>
      <c r="P163" s="876">
        <f t="shared" si="92"/>
        <v>0</v>
      </c>
      <c r="Q163" s="881">
        <v>0</v>
      </c>
      <c r="R163" s="882">
        <v>0</v>
      </c>
      <c r="S163" s="902"/>
      <c r="T163" s="903"/>
      <c r="U163" s="880">
        <f t="shared" si="74"/>
        <v>0</v>
      </c>
    </row>
    <row r="164" spans="1:21" s="104" customFormat="1" ht="16.899999999999999" customHeight="1">
      <c r="A164" s="1805"/>
      <c r="B164" s="517" t="s">
        <v>361</v>
      </c>
      <c r="C164" s="881">
        <v>0</v>
      </c>
      <c r="D164" s="881"/>
      <c r="E164" s="876">
        <f>C164+D164</f>
        <v>0</v>
      </c>
      <c r="F164" s="876"/>
      <c r="G164" s="876">
        <f t="shared" si="90"/>
        <v>0</v>
      </c>
      <c r="H164" s="876"/>
      <c r="I164" s="876">
        <f t="shared" si="89"/>
        <v>0</v>
      </c>
      <c r="J164" s="876"/>
      <c r="K164" s="876">
        <f>I164+J164</f>
        <v>0</v>
      </c>
      <c r="L164" s="876"/>
      <c r="M164" s="876">
        <f>K164+L164</f>
        <v>0</v>
      </c>
      <c r="N164" s="876"/>
      <c r="O164" s="1468"/>
      <c r="P164" s="876">
        <f t="shared" si="92"/>
        <v>0</v>
      </c>
      <c r="Q164" s="881">
        <v>0</v>
      </c>
      <c r="R164" s="882">
        <v>0</v>
      </c>
      <c r="S164" s="902"/>
      <c r="T164" s="903"/>
      <c r="U164" s="880">
        <f t="shared" si="74"/>
        <v>0</v>
      </c>
    </row>
    <row r="165" spans="1:21" s="484" customFormat="1" ht="16.899999999999999" customHeight="1">
      <c r="A165" s="1805"/>
      <c r="B165" s="518" t="s">
        <v>362</v>
      </c>
      <c r="C165" s="883">
        <f t="shared" ref="C165:H165" si="93">SUM(C160:C164)</f>
        <v>109259</v>
      </c>
      <c r="D165" s="883">
        <f t="shared" si="93"/>
        <v>374</v>
      </c>
      <c r="E165" s="883">
        <f t="shared" si="93"/>
        <v>109633</v>
      </c>
      <c r="F165" s="883">
        <f t="shared" si="93"/>
        <v>234</v>
      </c>
      <c r="G165" s="883">
        <f t="shared" si="93"/>
        <v>109867</v>
      </c>
      <c r="H165" s="883">
        <f t="shared" si="93"/>
        <v>140</v>
      </c>
      <c r="I165" s="901">
        <f t="shared" si="89"/>
        <v>110007</v>
      </c>
      <c r="J165" s="901">
        <f>SUM(J160:J164)</f>
        <v>69</v>
      </c>
      <c r="K165" s="901">
        <f>SUM(K160:K164)</f>
        <v>110076</v>
      </c>
      <c r="L165" s="901">
        <f>SUM(L160:L164)</f>
        <v>9621</v>
      </c>
      <c r="M165" s="901">
        <f>SUM(M160:M164)</f>
        <v>119697</v>
      </c>
      <c r="N165" s="901">
        <f>SUM(N160:N164)</f>
        <v>119670</v>
      </c>
      <c r="O165" s="1468">
        <f t="shared" si="91"/>
        <v>0.9997744304368531</v>
      </c>
      <c r="P165" s="901">
        <f t="shared" si="92"/>
        <v>119697</v>
      </c>
      <c r="Q165" s="883">
        <f>SUM(Q160:Q164)</f>
        <v>0</v>
      </c>
      <c r="R165" s="884">
        <f>SUM(R160:R164)</f>
        <v>0</v>
      </c>
      <c r="S165" s="904"/>
      <c r="T165" s="903"/>
      <c r="U165" s="880">
        <f t="shared" si="74"/>
        <v>119697</v>
      </c>
    </row>
    <row r="166" spans="1:21" s="104" customFormat="1" ht="16.899999999999999" customHeight="1">
      <c r="A166" s="1805"/>
      <c r="B166" s="517" t="s">
        <v>363</v>
      </c>
      <c r="C166" s="881">
        <v>0</v>
      </c>
      <c r="D166" s="881">
        <f>7500+48</f>
        <v>7548</v>
      </c>
      <c r="E166" s="881">
        <f>C166+D166</f>
        <v>7548</v>
      </c>
      <c r="F166" s="876"/>
      <c r="G166" s="876">
        <f t="shared" si="90"/>
        <v>7548</v>
      </c>
      <c r="H166" s="876"/>
      <c r="I166" s="876">
        <f t="shared" si="89"/>
        <v>7548</v>
      </c>
      <c r="J166" s="876"/>
      <c r="K166" s="876">
        <f>I166+J166</f>
        <v>7548</v>
      </c>
      <c r="L166" s="876">
        <v>74</v>
      </c>
      <c r="M166" s="876">
        <f>K166+L166</f>
        <v>7622</v>
      </c>
      <c r="N166" s="876">
        <v>7499</v>
      </c>
      <c r="O166" s="1468">
        <f t="shared" si="91"/>
        <v>0.98386250327997904</v>
      </c>
      <c r="P166" s="876">
        <f t="shared" si="92"/>
        <v>7622</v>
      </c>
      <c r="Q166" s="881">
        <v>0</v>
      </c>
      <c r="R166" s="882">
        <v>0</v>
      </c>
      <c r="S166" s="902"/>
      <c r="T166" s="903"/>
      <c r="U166" s="880">
        <f t="shared" si="74"/>
        <v>7622</v>
      </c>
    </row>
    <row r="167" spans="1:21" s="104" customFormat="1" ht="16.899999999999999" customHeight="1">
      <c r="A167" s="1805"/>
      <c r="B167" s="517" t="s">
        <v>54</v>
      </c>
      <c r="C167" s="881">
        <v>0</v>
      </c>
      <c r="D167" s="881"/>
      <c r="E167" s="881">
        <f>C167+D167</f>
        <v>0</v>
      </c>
      <c r="F167" s="876"/>
      <c r="G167" s="876">
        <f t="shared" si="90"/>
        <v>0</v>
      </c>
      <c r="H167" s="876"/>
      <c r="I167" s="876">
        <f t="shared" si="89"/>
        <v>0</v>
      </c>
      <c r="J167" s="876"/>
      <c r="K167" s="876">
        <f>I167+J167</f>
        <v>0</v>
      </c>
      <c r="L167" s="876"/>
      <c r="M167" s="876">
        <f>K167+L167</f>
        <v>0</v>
      </c>
      <c r="N167" s="876"/>
      <c r="O167" s="1468"/>
      <c r="P167" s="876">
        <f t="shared" si="92"/>
        <v>0</v>
      </c>
      <c r="Q167" s="881">
        <v>0</v>
      </c>
      <c r="R167" s="882">
        <v>0</v>
      </c>
      <c r="S167" s="902"/>
      <c r="T167" s="903"/>
      <c r="U167" s="880">
        <f t="shared" si="74"/>
        <v>0</v>
      </c>
    </row>
    <row r="168" spans="1:21" s="104" customFormat="1" ht="16.899999999999999" customHeight="1">
      <c r="A168" s="1805"/>
      <c r="B168" s="517" t="s">
        <v>364</v>
      </c>
      <c r="C168" s="881">
        <v>0</v>
      </c>
      <c r="D168" s="881"/>
      <c r="E168" s="881">
        <f>C168+D168</f>
        <v>0</v>
      </c>
      <c r="F168" s="876"/>
      <c r="G168" s="876">
        <f t="shared" si="90"/>
        <v>0</v>
      </c>
      <c r="H168" s="876"/>
      <c r="I168" s="876">
        <f t="shared" si="89"/>
        <v>0</v>
      </c>
      <c r="J168" s="876"/>
      <c r="K168" s="876">
        <f>I168+J168</f>
        <v>0</v>
      </c>
      <c r="L168" s="876"/>
      <c r="M168" s="876">
        <f>K168+L168</f>
        <v>0</v>
      </c>
      <c r="N168" s="876"/>
      <c r="O168" s="1468"/>
      <c r="P168" s="876">
        <f t="shared" si="92"/>
        <v>0</v>
      </c>
      <c r="Q168" s="881">
        <v>0</v>
      </c>
      <c r="R168" s="882">
        <v>0</v>
      </c>
      <c r="S168" s="902"/>
      <c r="T168" s="903"/>
      <c r="U168" s="880">
        <f t="shared" si="74"/>
        <v>0</v>
      </c>
    </row>
    <row r="169" spans="1:21" s="484" customFormat="1" ht="16.899999999999999" customHeight="1">
      <c r="A169" s="1805"/>
      <c r="B169" s="518" t="s">
        <v>365</v>
      </c>
      <c r="C169" s="883">
        <f t="shared" ref="C169:H169" si="94">SUM(C166:C168)</f>
        <v>0</v>
      </c>
      <c r="D169" s="883">
        <f t="shared" si="94"/>
        <v>7548</v>
      </c>
      <c r="E169" s="883">
        <f t="shared" si="94"/>
        <v>7548</v>
      </c>
      <c r="F169" s="883">
        <f t="shared" si="94"/>
        <v>0</v>
      </c>
      <c r="G169" s="883">
        <f t="shared" si="94"/>
        <v>7548</v>
      </c>
      <c r="H169" s="883">
        <f t="shared" si="94"/>
        <v>0</v>
      </c>
      <c r="I169" s="901">
        <f t="shared" si="89"/>
        <v>7548</v>
      </c>
      <c r="J169" s="901">
        <f>SUM(J166:J168)</f>
        <v>0</v>
      </c>
      <c r="K169" s="901">
        <f>SUM(K166:K168)</f>
        <v>7548</v>
      </c>
      <c r="L169" s="901">
        <f>SUM(L166:L168)</f>
        <v>74</v>
      </c>
      <c r="M169" s="901">
        <f>SUM(M166:M168)</f>
        <v>7622</v>
      </c>
      <c r="N169" s="901">
        <f>SUM(N166:N168)</f>
        <v>7499</v>
      </c>
      <c r="O169" s="1468">
        <f t="shared" si="91"/>
        <v>0.98386250327997904</v>
      </c>
      <c r="P169" s="901">
        <f t="shared" si="92"/>
        <v>7622</v>
      </c>
      <c r="Q169" s="883">
        <f>SUM(Q166:Q168)</f>
        <v>0</v>
      </c>
      <c r="R169" s="884">
        <f>SUM(R166:R168)</f>
        <v>0</v>
      </c>
      <c r="S169" s="904"/>
      <c r="T169" s="903"/>
      <c r="U169" s="880">
        <f t="shared" si="74"/>
        <v>7622</v>
      </c>
    </row>
    <row r="170" spans="1:21" s="104" customFormat="1" ht="16.899999999999999" customHeight="1" thickBot="1">
      <c r="A170" s="1805"/>
      <c r="B170" s="658" t="s">
        <v>138</v>
      </c>
      <c r="C170" s="887"/>
      <c r="D170" s="887"/>
      <c r="E170" s="887">
        <f>C170+D170</f>
        <v>0</v>
      </c>
      <c r="F170" s="887"/>
      <c r="G170" s="1290">
        <f t="shared" si="90"/>
        <v>0</v>
      </c>
      <c r="H170" s="1290"/>
      <c r="I170" s="1290">
        <f t="shared" si="89"/>
        <v>0</v>
      </c>
      <c r="J170" s="1290"/>
      <c r="K170" s="1290">
        <f>I170+J170</f>
        <v>0</v>
      </c>
      <c r="L170" s="1290"/>
      <c r="M170" s="1290">
        <f>K170+L170</f>
        <v>0</v>
      </c>
      <c r="N170" s="1290"/>
      <c r="O170" s="1469"/>
      <c r="P170" s="876">
        <f t="shared" si="92"/>
        <v>0</v>
      </c>
      <c r="Q170" s="888"/>
      <c r="R170" s="889"/>
      <c r="S170" s="902"/>
      <c r="T170" s="903"/>
      <c r="U170" s="880">
        <f t="shared" si="74"/>
        <v>0</v>
      </c>
    </row>
    <row r="171" spans="1:21" s="484" customFormat="1" ht="16.899999999999999" customHeight="1" thickBot="1">
      <c r="A171" s="1807"/>
      <c r="B171" s="659" t="s">
        <v>133</v>
      </c>
      <c r="C171" s="890">
        <f t="shared" ref="C171:R171" si="95">C165+C169+C170</f>
        <v>109259</v>
      </c>
      <c r="D171" s="890">
        <f t="shared" si="95"/>
        <v>7922</v>
      </c>
      <c r="E171" s="890">
        <f t="shared" si="95"/>
        <v>117181</v>
      </c>
      <c r="F171" s="890">
        <f t="shared" si="95"/>
        <v>234</v>
      </c>
      <c r="G171" s="890">
        <f t="shared" si="95"/>
        <v>117415</v>
      </c>
      <c r="H171" s="890">
        <f>H165+H169+H170</f>
        <v>140</v>
      </c>
      <c r="I171" s="890">
        <f t="shared" si="89"/>
        <v>117555</v>
      </c>
      <c r="J171" s="890">
        <f>J165+J169+J170</f>
        <v>69</v>
      </c>
      <c r="K171" s="890">
        <f>K165+K169+K170</f>
        <v>117624</v>
      </c>
      <c r="L171" s="890">
        <f>L165+L169+L170</f>
        <v>9695</v>
      </c>
      <c r="M171" s="890">
        <f>M165+M169+M170</f>
        <v>127319</v>
      </c>
      <c r="N171" s="890">
        <f>N165+N169+N170</f>
        <v>127169</v>
      </c>
      <c r="O171" s="1473">
        <f t="shared" si="91"/>
        <v>0.99882185691059466</v>
      </c>
      <c r="P171" s="890">
        <f>M171</f>
        <v>127319</v>
      </c>
      <c r="Q171" s="890">
        <f t="shared" si="95"/>
        <v>0</v>
      </c>
      <c r="R171" s="891">
        <f t="shared" si="95"/>
        <v>0</v>
      </c>
      <c r="S171" s="904"/>
      <c r="T171" s="903"/>
      <c r="U171" s="880">
        <f t="shared" si="74"/>
        <v>127319</v>
      </c>
    </row>
    <row r="172" spans="1:21" s="357" customFormat="1" ht="25.5" customHeight="1" thickBot="1">
      <c r="A172" s="1819" t="s">
        <v>135</v>
      </c>
      <c r="B172" s="1820"/>
      <c r="C172" s="1796"/>
      <c r="D172" s="1796"/>
      <c r="E172" s="1796"/>
      <c r="F172" s="1796"/>
      <c r="G172" s="1796"/>
      <c r="H172" s="1796"/>
      <c r="I172" s="1796"/>
      <c r="J172" s="1796"/>
      <c r="K172" s="1796"/>
      <c r="L172" s="1796"/>
      <c r="M172" s="1796"/>
      <c r="N172" s="1796"/>
      <c r="O172" s="1796"/>
      <c r="P172" s="1796"/>
      <c r="Q172" s="1796"/>
      <c r="R172" s="1797"/>
      <c r="S172" s="671"/>
      <c r="T172" s="672"/>
      <c r="U172" s="657"/>
    </row>
    <row r="173" spans="1:21" s="104" customFormat="1" ht="21" customHeight="1">
      <c r="A173" s="673"/>
      <c r="B173" s="516" t="s">
        <v>40</v>
      </c>
      <c r="C173" s="876">
        <f t="shared" ref="C173:F178" si="96">SUM(C4+C17+C30+C43+C56+C69+C82)</f>
        <v>637374</v>
      </c>
      <c r="D173" s="876">
        <f t="shared" si="96"/>
        <v>18345</v>
      </c>
      <c r="E173" s="876">
        <f t="shared" si="96"/>
        <v>655719</v>
      </c>
      <c r="F173" s="876">
        <f t="shared" si="96"/>
        <v>17423</v>
      </c>
      <c r="G173" s="876">
        <f>E173+F173</f>
        <v>673142</v>
      </c>
      <c r="H173" s="876">
        <f>H4+H17+H30+H43+H56+H69+H82</f>
        <v>19041</v>
      </c>
      <c r="I173" s="876">
        <f>I4+I17+I30+I43+I56+I69+I82</f>
        <v>692183</v>
      </c>
      <c r="J173" s="876">
        <f>J4+J17+J30+J43+J56+J69+J82</f>
        <v>10550</v>
      </c>
      <c r="K173" s="876">
        <f>I173+J173</f>
        <v>702733</v>
      </c>
      <c r="L173" s="876">
        <f>L4+L17+L30+L43+L56+L69+L82</f>
        <v>20730</v>
      </c>
      <c r="M173" s="876">
        <f>K173+L173</f>
        <v>723463</v>
      </c>
      <c r="N173" s="876">
        <f>SUM(N4+N17+N30+N43+N56+N69+N82)</f>
        <v>700420</v>
      </c>
      <c r="O173" s="1468">
        <f>N173/M173</f>
        <v>0.96814902766278299</v>
      </c>
      <c r="P173" s="876">
        <f>SUM(P4+P17+P30+P43+P56+P69+P82)</f>
        <v>721647</v>
      </c>
      <c r="Q173" s="905">
        <f>SUM(Q4+Q17+Q30+Q43+Q56+Q69+Q82)</f>
        <v>1816</v>
      </c>
      <c r="R173" s="906">
        <f>SUM(R4+R17+R30+R43+R56+R69+R82)</f>
        <v>0</v>
      </c>
      <c r="S173" s="902"/>
      <c r="T173" s="903"/>
      <c r="U173" s="880">
        <f t="shared" si="74"/>
        <v>723463</v>
      </c>
    </row>
    <row r="174" spans="1:21" s="104" customFormat="1" ht="30.95" customHeight="1">
      <c r="A174" s="674"/>
      <c r="B174" s="517" t="s">
        <v>303</v>
      </c>
      <c r="C174" s="881">
        <f t="shared" si="96"/>
        <v>181068</v>
      </c>
      <c r="D174" s="881">
        <f t="shared" si="96"/>
        <v>3712</v>
      </c>
      <c r="E174" s="881">
        <f t="shared" si="96"/>
        <v>184780</v>
      </c>
      <c r="F174" s="881">
        <f t="shared" si="96"/>
        <v>3299</v>
      </c>
      <c r="G174" s="876">
        <f t="shared" ref="G174:G183" si="97">E174+F174</f>
        <v>188079</v>
      </c>
      <c r="H174" s="876">
        <f t="shared" ref="H174:I184" si="98">H5+H18+H31+H44+H57+H70+H83</f>
        <v>3051</v>
      </c>
      <c r="I174" s="876">
        <f t="shared" si="98"/>
        <v>191130</v>
      </c>
      <c r="J174" s="876">
        <f>J5+J18+J31+J44+J57+J70+J83</f>
        <v>836</v>
      </c>
      <c r="K174" s="876">
        <f>I174+J174</f>
        <v>191966</v>
      </c>
      <c r="L174" s="876">
        <f>L5+L18+L31+L44+L57+L70+L83</f>
        <v>2128</v>
      </c>
      <c r="M174" s="876">
        <f>K174+L174</f>
        <v>194094</v>
      </c>
      <c r="N174" s="876">
        <f t="shared" ref="N174:N183" si="99">SUM(N5+N18+N31+N44+N57+N70+N83)</f>
        <v>188487</v>
      </c>
      <c r="O174" s="1468">
        <f t="shared" ref="O174:O184" si="100">N174/M174</f>
        <v>0.97111193545395535</v>
      </c>
      <c r="P174" s="881">
        <f t="shared" ref="P174:R183" si="101">SUM(P5+P18+P31+P44+P57+P70+P83)</f>
        <v>183908</v>
      </c>
      <c r="Q174" s="907">
        <f t="shared" si="101"/>
        <v>533</v>
      </c>
      <c r="R174" s="908">
        <f t="shared" si="101"/>
        <v>0</v>
      </c>
      <c r="S174" s="902"/>
      <c r="T174" s="903"/>
      <c r="U174" s="880">
        <f t="shared" si="74"/>
        <v>184441</v>
      </c>
    </row>
    <row r="175" spans="1:21" s="104" customFormat="1" ht="21" customHeight="1">
      <c r="A175" s="674"/>
      <c r="B175" s="517" t="s">
        <v>132</v>
      </c>
      <c r="C175" s="881">
        <f t="shared" si="96"/>
        <v>420060</v>
      </c>
      <c r="D175" s="881">
        <f t="shared" si="96"/>
        <v>12454</v>
      </c>
      <c r="E175" s="881">
        <f t="shared" si="96"/>
        <v>432514</v>
      </c>
      <c r="F175" s="881">
        <f t="shared" si="96"/>
        <v>26020</v>
      </c>
      <c r="G175" s="876">
        <f t="shared" si="97"/>
        <v>458534</v>
      </c>
      <c r="H175" s="876">
        <f t="shared" si="98"/>
        <v>7545</v>
      </c>
      <c r="I175" s="876">
        <f t="shared" si="98"/>
        <v>466079</v>
      </c>
      <c r="J175" s="876">
        <f>J6+J19+J32+J45+J58+J71+J84</f>
        <v>7138</v>
      </c>
      <c r="K175" s="876">
        <f>I175+J175</f>
        <v>473217</v>
      </c>
      <c r="L175" s="876">
        <f>L6+L19+L32+L45+L58+L71+L84</f>
        <v>18311</v>
      </c>
      <c r="M175" s="876">
        <f>K175+L175</f>
        <v>491528</v>
      </c>
      <c r="N175" s="876">
        <f t="shared" si="99"/>
        <v>463335</v>
      </c>
      <c r="O175" s="1468">
        <f t="shared" si="100"/>
        <v>0.94264212822056936</v>
      </c>
      <c r="P175" s="881">
        <f t="shared" si="101"/>
        <v>484850</v>
      </c>
      <c r="Q175" s="907">
        <f t="shared" si="101"/>
        <v>6678</v>
      </c>
      <c r="R175" s="908">
        <f t="shared" si="101"/>
        <v>0</v>
      </c>
      <c r="S175" s="902"/>
      <c r="T175" s="903"/>
      <c r="U175" s="880">
        <f t="shared" si="74"/>
        <v>491528</v>
      </c>
    </row>
    <row r="176" spans="1:21" s="104" customFormat="1" ht="21" customHeight="1">
      <c r="A176" s="674"/>
      <c r="B176" s="517" t="s">
        <v>42</v>
      </c>
      <c r="C176" s="881">
        <f t="shared" si="96"/>
        <v>0</v>
      </c>
      <c r="D176" s="881">
        <f t="shared" si="96"/>
        <v>0</v>
      </c>
      <c r="E176" s="881">
        <f t="shared" si="96"/>
        <v>0</v>
      </c>
      <c r="F176" s="881">
        <f t="shared" si="96"/>
        <v>0</v>
      </c>
      <c r="G176" s="876">
        <f t="shared" si="97"/>
        <v>0</v>
      </c>
      <c r="H176" s="876">
        <f t="shared" si="98"/>
        <v>0</v>
      </c>
      <c r="I176" s="876">
        <f t="shared" si="98"/>
        <v>0</v>
      </c>
      <c r="J176" s="876">
        <f>J7+J20+J33+J46+J59+J72+J85</f>
        <v>0</v>
      </c>
      <c r="K176" s="876">
        <f>I176+J176</f>
        <v>0</v>
      </c>
      <c r="L176" s="876">
        <f>L7+L20+L33+L46+L59+L72+L85</f>
        <v>0</v>
      </c>
      <c r="M176" s="876">
        <f>K176+L176</f>
        <v>0</v>
      </c>
      <c r="N176" s="876">
        <f t="shared" si="99"/>
        <v>0</v>
      </c>
      <c r="O176" s="1468"/>
      <c r="P176" s="881">
        <f t="shared" si="101"/>
        <v>0</v>
      </c>
      <c r="Q176" s="907">
        <f t="shared" si="101"/>
        <v>0</v>
      </c>
      <c r="R176" s="908">
        <f t="shared" si="101"/>
        <v>0</v>
      </c>
      <c r="S176" s="902"/>
      <c r="T176" s="903"/>
      <c r="U176" s="880">
        <f t="shared" si="74"/>
        <v>0</v>
      </c>
    </row>
    <row r="177" spans="1:21" s="104" customFormat="1" ht="21" customHeight="1">
      <c r="A177" s="674"/>
      <c r="B177" s="517" t="s">
        <v>361</v>
      </c>
      <c r="C177" s="881">
        <f t="shared" si="96"/>
        <v>38100</v>
      </c>
      <c r="D177" s="881">
        <f t="shared" si="96"/>
        <v>-38100</v>
      </c>
      <c r="E177" s="881">
        <f t="shared" si="96"/>
        <v>0</v>
      </c>
      <c r="F177" s="881">
        <f t="shared" si="96"/>
        <v>0</v>
      </c>
      <c r="G177" s="876">
        <f t="shared" si="97"/>
        <v>0</v>
      </c>
      <c r="H177" s="876">
        <f t="shared" si="98"/>
        <v>1444</v>
      </c>
      <c r="I177" s="876">
        <f t="shared" si="98"/>
        <v>1444</v>
      </c>
      <c r="J177" s="876">
        <f>J8+J21+J34+J47+J60+J73+J86</f>
        <v>0</v>
      </c>
      <c r="K177" s="876">
        <f>I177+J177</f>
        <v>1444</v>
      </c>
      <c r="L177" s="876">
        <f>L8+L21+L34+L47+L60+L73+L86</f>
        <v>0</v>
      </c>
      <c r="M177" s="876">
        <f>K177+L177</f>
        <v>1444</v>
      </c>
      <c r="N177" s="876">
        <f t="shared" si="99"/>
        <v>1444</v>
      </c>
      <c r="O177" s="1468">
        <f t="shared" si="100"/>
        <v>1</v>
      </c>
      <c r="P177" s="881">
        <v>0</v>
      </c>
      <c r="Q177" s="907">
        <f t="shared" si="101"/>
        <v>0</v>
      </c>
      <c r="R177" s="908">
        <f t="shared" si="101"/>
        <v>0</v>
      </c>
      <c r="S177" s="902"/>
      <c r="T177" s="903"/>
      <c r="U177" s="880">
        <f t="shared" si="74"/>
        <v>0</v>
      </c>
    </row>
    <row r="178" spans="1:21" s="484" customFormat="1" ht="21" customHeight="1">
      <c r="A178" s="674"/>
      <c r="B178" s="518" t="s">
        <v>362</v>
      </c>
      <c r="C178" s="883">
        <f t="shared" si="96"/>
        <v>1276602</v>
      </c>
      <c r="D178" s="883">
        <f t="shared" si="96"/>
        <v>-3589</v>
      </c>
      <c r="E178" s="883">
        <f t="shared" si="96"/>
        <v>1273013</v>
      </c>
      <c r="F178" s="883">
        <f t="shared" si="96"/>
        <v>46742</v>
      </c>
      <c r="G178" s="883">
        <f>SUM(G9+G22+G35+G48+G61+G74+G87)</f>
        <v>1319755</v>
      </c>
      <c r="H178" s="901">
        <f t="shared" si="98"/>
        <v>31081</v>
      </c>
      <c r="I178" s="901">
        <f t="shared" si="98"/>
        <v>1350836</v>
      </c>
      <c r="J178" s="901">
        <f>SUM(J173:J177)</f>
        <v>18524</v>
      </c>
      <c r="K178" s="901">
        <f>SUM(K173:K177)</f>
        <v>1369360</v>
      </c>
      <c r="L178" s="901">
        <f>SUM(L173:L177)</f>
        <v>41169</v>
      </c>
      <c r="M178" s="901">
        <f>SUM(M173:M177)</f>
        <v>1410529</v>
      </c>
      <c r="N178" s="876">
        <f t="shared" si="99"/>
        <v>1353686</v>
      </c>
      <c r="O178" s="1468">
        <f t="shared" si="100"/>
        <v>0.95970093489747466</v>
      </c>
      <c r="P178" s="883">
        <f t="shared" si="101"/>
        <v>1401607</v>
      </c>
      <c r="Q178" s="909">
        <f t="shared" si="101"/>
        <v>9027</v>
      </c>
      <c r="R178" s="910">
        <f t="shared" si="101"/>
        <v>0</v>
      </c>
      <c r="S178" s="904"/>
      <c r="T178" s="903"/>
      <c r="U178" s="880">
        <f t="shared" si="74"/>
        <v>1410634</v>
      </c>
    </row>
    <row r="179" spans="1:21" s="104" customFormat="1" ht="21" customHeight="1">
      <c r="A179" s="674"/>
      <c r="B179" s="517" t="s">
        <v>363</v>
      </c>
      <c r="C179" s="881">
        <f>SUM(C10+C23+C36+C49+C62+C75+C88)</f>
        <v>0</v>
      </c>
      <c r="D179" s="881">
        <f t="shared" ref="D179:F180" si="102">D10+D23+D36+D49+D62+D75+D88</f>
        <v>31973</v>
      </c>
      <c r="E179" s="881">
        <f t="shared" si="102"/>
        <v>31973</v>
      </c>
      <c r="F179" s="881">
        <f t="shared" si="102"/>
        <v>236</v>
      </c>
      <c r="G179" s="876">
        <f t="shared" si="97"/>
        <v>32209</v>
      </c>
      <c r="H179" s="876">
        <f t="shared" si="98"/>
        <v>926</v>
      </c>
      <c r="I179" s="876">
        <f t="shared" si="98"/>
        <v>33135</v>
      </c>
      <c r="J179" s="876">
        <f>J10+J23+J36+J49+J62+J75+J88</f>
        <v>1606</v>
      </c>
      <c r="K179" s="876">
        <f>I179+J179</f>
        <v>34741</v>
      </c>
      <c r="L179" s="876">
        <f>L10+L23+L36+L49+L62+L75+L88</f>
        <v>-3388</v>
      </c>
      <c r="M179" s="876">
        <f>SUM(M166,M153,M140,M127,M114,M101,M75,M62,M49,M36,M23,M10)</f>
        <v>31248</v>
      </c>
      <c r="N179" s="876">
        <f t="shared" si="99"/>
        <v>24751</v>
      </c>
      <c r="O179" s="1468">
        <f t="shared" si="100"/>
        <v>0.79208269329237069</v>
      </c>
      <c r="P179" s="881">
        <f t="shared" si="101"/>
        <v>31006</v>
      </c>
      <c r="Q179" s="907">
        <f t="shared" si="101"/>
        <v>347</v>
      </c>
      <c r="R179" s="908">
        <f t="shared" si="101"/>
        <v>0</v>
      </c>
      <c r="S179" s="902"/>
      <c r="T179" s="903"/>
      <c r="U179" s="880">
        <f t="shared" si="74"/>
        <v>31353</v>
      </c>
    </row>
    <row r="180" spans="1:21" s="104" customFormat="1" ht="21" customHeight="1">
      <c r="A180" s="674"/>
      <c r="B180" s="517" t="s">
        <v>54</v>
      </c>
      <c r="C180" s="881">
        <f>SUM(C11+C24+C37+C50+C63+C76+C89)</f>
        <v>0</v>
      </c>
      <c r="D180" s="881">
        <f t="shared" si="102"/>
        <v>26074</v>
      </c>
      <c r="E180" s="881">
        <f t="shared" si="102"/>
        <v>26074</v>
      </c>
      <c r="F180" s="881">
        <f t="shared" si="102"/>
        <v>-216</v>
      </c>
      <c r="G180" s="876">
        <f t="shared" si="97"/>
        <v>25858</v>
      </c>
      <c r="H180" s="876">
        <f t="shared" si="98"/>
        <v>-126</v>
      </c>
      <c r="I180" s="876">
        <f t="shared" si="98"/>
        <v>25732</v>
      </c>
      <c r="J180" s="876">
        <f>J11+J24+J37+J50+J63+J76+J89</f>
        <v>0</v>
      </c>
      <c r="K180" s="876">
        <f>I180+J180</f>
        <v>25732</v>
      </c>
      <c r="L180" s="876">
        <f>L11+L24+L37+L50+L63+L76+L89</f>
        <v>-1028</v>
      </c>
      <c r="M180" s="876">
        <f>K180+L180</f>
        <v>24704</v>
      </c>
      <c r="N180" s="876">
        <f t="shared" si="99"/>
        <v>16329</v>
      </c>
      <c r="O180" s="1468">
        <f t="shared" si="100"/>
        <v>0.66098607512953367</v>
      </c>
      <c r="P180" s="881">
        <f t="shared" si="101"/>
        <v>20904</v>
      </c>
      <c r="Q180" s="907">
        <f t="shared" si="101"/>
        <v>3800</v>
      </c>
      <c r="R180" s="908">
        <f t="shared" si="101"/>
        <v>0</v>
      </c>
      <c r="S180" s="902"/>
      <c r="T180" s="903"/>
      <c r="U180" s="880">
        <f t="shared" si="74"/>
        <v>24704</v>
      </c>
    </row>
    <row r="181" spans="1:21" s="104" customFormat="1" ht="21" customHeight="1">
      <c r="A181" s="674"/>
      <c r="B181" s="517" t="s">
        <v>364</v>
      </c>
      <c r="C181" s="881">
        <f>SUM(C12+C25+C38+C51+C64+C77+C90)</f>
        <v>0</v>
      </c>
      <c r="D181" s="881">
        <f t="shared" ref="D181:F183" si="103">SUM(D12+D25+D38+D51+D64+D77+D90)</f>
        <v>0</v>
      </c>
      <c r="E181" s="881">
        <f t="shared" si="103"/>
        <v>0</v>
      </c>
      <c r="F181" s="881">
        <f t="shared" si="103"/>
        <v>0</v>
      </c>
      <c r="G181" s="876">
        <f t="shared" si="97"/>
        <v>0</v>
      </c>
      <c r="H181" s="876">
        <f t="shared" si="98"/>
        <v>0</v>
      </c>
      <c r="I181" s="876">
        <f t="shared" si="98"/>
        <v>0</v>
      </c>
      <c r="J181" s="876">
        <f>J12+J25+J38+J51+J64+J77+J90</f>
        <v>0</v>
      </c>
      <c r="K181" s="876">
        <f>I181+J181</f>
        <v>0</v>
      </c>
      <c r="L181" s="876">
        <f>L12+L25+L38+L51+L64+L77+L90</f>
        <v>0</v>
      </c>
      <c r="M181" s="876">
        <f>K181+L181</f>
        <v>0</v>
      </c>
      <c r="N181" s="876">
        <f t="shared" si="99"/>
        <v>0</v>
      </c>
      <c r="O181" s="1468"/>
      <c r="P181" s="881">
        <f t="shared" si="101"/>
        <v>0</v>
      </c>
      <c r="Q181" s="907">
        <f t="shared" si="101"/>
        <v>0</v>
      </c>
      <c r="R181" s="908">
        <f t="shared" si="101"/>
        <v>0</v>
      </c>
      <c r="S181" s="902"/>
      <c r="T181" s="903"/>
      <c r="U181" s="880">
        <f t="shared" si="74"/>
        <v>0</v>
      </c>
    </row>
    <row r="182" spans="1:21" s="484" customFormat="1" ht="21" customHeight="1">
      <c r="A182" s="674"/>
      <c r="B182" s="518" t="s">
        <v>365</v>
      </c>
      <c r="C182" s="883">
        <f>SUM(C13+C26+C39+C52+C65+C78+C91)</f>
        <v>0</v>
      </c>
      <c r="D182" s="883">
        <f t="shared" si="103"/>
        <v>58047</v>
      </c>
      <c r="E182" s="883">
        <f t="shared" si="103"/>
        <v>58047</v>
      </c>
      <c r="F182" s="883">
        <f t="shared" si="103"/>
        <v>20</v>
      </c>
      <c r="G182" s="883">
        <f>SUM(G13+G26+G39+G52+G65+G78+G91)</f>
        <v>58067</v>
      </c>
      <c r="H182" s="901">
        <f t="shared" si="98"/>
        <v>800</v>
      </c>
      <c r="I182" s="901">
        <f t="shared" si="98"/>
        <v>58867</v>
      </c>
      <c r="J182" s="901">
        <f>SUM(J179:J181)</f>
        <v>1606</v>
      </c>
      <c r="K182" s="901">
        <f>SUM(K179:K181)</f>
        <v>60473</v>
      </c>
      <c r="L182" s="901">
        <f>SUM(L179:L181)</f>
        <v>-4416</v>
      </c>
      <c r="M182" s="901">
        <f>SUM(M179:M181)</f>
        <v>55952</v>
      </c>
      <c r="N182" s="876">
        <f t="shared" si="99"/>
        <v>41080</v>
      </c>
      <c r="O182" s="1468">
        <f t="shared" si="100"/>
        <v>0.73420074349442377</v>
      </c>
      <c r="P182" s="883">
        <f t="shared" si="101"/>
        <v>51910</v>
      </c>
      <c r="Q182" s="909">
        <f t="shared" si="101"/>
        <v>4147</v>
      </c>
      <c r="R182" s="910">
        <f t="shared" si="101"/>
        <v>0</v>
      </c>
      <c r="S182" s="904"/>
      <c r="T182" s="903"/>
      <c r="U182" s="880">
        <f t="shared" si="74"/>
        <v>56057</v>
      </c>
    </row>
    <row r="183" spans="1:21" s="104" customFormat="1" ht="21" customHeight="1" thickBot="1">
      <c r="A183" s="1481"/>
      <c r="B183" s="658" t="s">
        <v>138</v>
      </c>
      <c r="C183" s="887">
        <f>SUM(C14+C27+C40+C53+C66+C79+C92)</f>
        <v>0</v>
      </c>
      <c r="D183" s="887">
        <f t="shared" si="103"/>
        <v>0</v>
      </c>
      <c r="E183" s="887">
        <f t="shared" si="103"/>
        <v>0</v>
      </c>
      <c r="F183" s="887">
        <f t="shared" si="103"/>
        <v>0</v>
      </c>
      <c r="G183" s="1290">
        <f t="shared" si="97"/>
        <v>0</v>
      </c>
      <c r="H183" s="1290">
        <f t="shared" si="98"/>
        <v>0</v>
      </c>
      <c r="I183" s="1290">
        <f t="shared" si="98"/>
        <v>0</v>
      </c>
      <c r="J183" s="1290"/>
      <c r="K183" s="1290">
        <f>I183+J183</f>
        <v>0</v>
      </c>
      <c r="L183" s="1290"/>
      <c r="M183" s="1290">
        <f>K183+L183</f>
        <v>0</v>
      </c>
      <c r="N183" s="876">
        <f t="shared" si="99"/>
        <v>0</v>
      </c>
      <c r="O183" s="1469"/>
      <c r="P183" s="887">
        <f t="shared" si="101"/>
        <v>0</v>
      </c>
      <c r="Q183" s="911">
        <f t="shared" si="101"/>
        <v>0</v>
      </c>
      <c r="R183" s="912">
        <f t="shared" si="101"/>
        <v>0</v>
      </c>
      <c r="S183" s="902"/>
      <c r="T183" s="903"/>
      <c r="U183" s="880">
        <f t="shared" si="74"/>
        <v>0</v>
      </c>
    </row>
    <row r="184" spans="1:21" s="357" customFormat="1" ht="32.450000000000003" customHeight="1" thickBot="1">
      <c r="A184" s="1808" t="s">
        <v>133</v>
      </c>
      <c r="B184" s="1809"/>
      <c r="C184" s="1470">
        <f t="shared" ref="C184:R184" si="104">C178+C182+C183</f>
        <v>1276602</v>
      </c>
      <c r="D184" s="913">
        <f t="shared" si="104"/>
        <v>54458</v>
      </c>
      <c r="E184" s="913">
        <f t="shared" si="104"/>
        <v>1331060</v>
      </c>
      <c r="F184" s="913">
        <f t="shared" si="104"/>
        <v>46762</v>
      </c>
      <c r="G184" s="913">
        <f t="shared" si="104"/>
        <v>1377822</v>
      </c>
      <c r="H184" s="1291">
        <f>H15+H28+H41+H54+H67+H80+H93</f>
        <v>31881</v>
      </c>
      <c r="I184" s="1291">
        <f t="shared" si="98"/>
        <v>1409703</v>
      </c>
      <c r="J184" s="1291">
        <f>J15+J28+J41+J54+J67+J80+J93</f>
        <v>20130</v>
      </c>
      <c r="K184" s="1291">
        <f>K15+K28+K41+K54+K67+K80+K93</f>
        <v>1429833</v>
      </c>
      <c r="L184" s="1291">
        <f>L15+L28+L41+L54+L67+L80+L93</f>
        <v>36753</v>
      </c>
      <c r="M184" s="1291">
        <f>M15+M28+M41+M54+M67+M80+M93</f>
        <v>1466586</v>
      </c>
      <c r="N184" s="1291">
        <f>N15+N28+N41+N54+N67+N80+N93</f>
        <v>1394766</v>
      </c>
      <c r="O184" s="1471">
        <f t="shared" si="100"/>
        <v>0.95102912478368129</v>
      </c>
      <c r="P184" s="914">
        <f t="shared" si="104"/>
        <v>1453517</v>
      </c>
      <c r="Q184" s="914">
        <f t="shared" si="104"/>
        <v>13174</v>
      </c>
      <c r="R184" s="915">
        <f t="shared" si="104"/>
        <v>0</v>
      </c>
      <c r="S184" s="916"/>
      <c r="T184" s="917"/>
      <c r="U184" s="880">
        <f t="shared" si="74"/>
        <v>1466691</v>
      </c>
    </row>
    <row r="186" spans="1:21">
      <c r="B186" s="2" t="s">
        <v>98</v>
      </c>
    </row>
    <row r="188" spans="1:21">
      <c r="B188" s="2" t="s">
        <v>98</v>
      </c>
    </row>
    <row r="189" spans="1:21">
      <c r="B189" s="2" t="s">
        <v>98</v>
      </c>
      <c r="I189" s="1332" t="s">
        <v>98</v>
      </c>
      <c r="J189" s="1332"/>
      <c r="K189" s="1332"/>
      <c r="L189" s="1332"/>
      <c r="M189" s="1332"/>
      <c r="N189" s="1332"/>
      <c r="O189" s="1332"/>
    </row>
    <row r="190" spans="1:21">
      <c r="B190" s="2" t="s">
        <v>98</v>
      </c>
    </row>
  </sheetData>
  <mergeCells count="29">
    <mergeCell ref="A147:A158"/>
    <mergeCell ref="A160:A171"/>
    <mergeCell ref="A184:B184"/>
    <mergeCell ref="A1:R1"/>
    <mergeCell ref="B81:R81"/>
    <mergeCell ref="B68:R68"/>
    <mergeCell ref="B55:R55"/>
    <mergeCell ref="B42:R42"/>
    <mergeCell ref="C29:R29"/>
    <mergeCell ref="P3:R3"/>
    <mergeCell ref="B16:R16"/>
    <mergeCell ref="C159:R159"/>
    <mergeCell ref="A172:R172"/>
    <mergeCell ref="B94:R94"/>
    <mergeCell ref="B107:R107"/>
    <mergeCell ref="A43:A54"/>
    <mergeCell ref="B120:R120"/>
    <mergeCell ref="C133:R133"/>
    <mergeCell ref="C146:R146"/>
    <mergeCell ref="A108:A119"/>
    <mergeCell ref="A121:A132"/>
    <mergeCell ref="A134:A145"/>
    <mergeCell ref="A4:A15"/>
    <mergeCell ref="A17:A28"/>
    <mergeCell ref="A30:A41"/>
    <mergeCell ref="A82:A93"/>
    <mergeCell ref="A95:A106"/>
    <mergeCell ref="A56:A67"/>
    <mergeCell ref="A69:A80"/>
  </mergeCells>
  <phoneticPr fontId="6" type="noConversion"/>
  <printOptions horizontalCentered="1"/>
  <pageMargins left="0.59055118110236227" right="0.59055118110236227" top="0.6692913385826772" bottom="0.6692913385826772" header="0.39370078740157483" footer="0.39370078740157483"/>
  <pageSetup paperSize="9" scale="56" fitToHeight="3" orientation="portrait" r:id="rId1"/>
  <headerFooter alignWithMargins="0">
    <oddHeader>&amp;L&amp;"Arial,Dőlt"&amp;11 7&amp;U. melléklet a 15/2015. (V.29.) önkormányzati rendelethez</oddHeader>
    <oddFooter>&amp;C&amp;11 Nagykőrös Város Önkormányzat 2014. évi zárszámadási rendelete</oddFooter>
  </headerFooter>
  <rowBreaks count="2" manualBreakCount="2">
    <brk id="67" max="9" man="1"/>
    <brk id="13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DJ203"/>
  <sheetViews>
    <sheetView view="pageLayout" zoomScaleNormal="70" zoomScaleSheetLayoutView="85" workbookViewId="0">
      <selection activeCell="B6" sqref="B6"/>
    </sheetView>
  </sheetViews>
  <sheetFormatPr defaultColWidth="12.7109375" defaultRowHeight="19.5"/>
  <cols>
    <col min="1" max="1" width="6.7109375" style="733" customWidth="1"/>
    <col min="2" max="2" width="53" style="734" customWidth="1"/>
    <col min="3" max="3" width="17" style="735" customWidth="1"/>
    <col min="4" max="10" width="17" style="735" hidden="1" customWidth="1"/>
    <col min="11" max="12" width="17" style="735" customWidth="1"/>
    <col min="13" max="13" width="21.85546875" style="735" bestFit="1" customWidth="1"/>
    <col min="14" max="15" width="17" style="736" customWidth="1"/>
    <col min="16" max="16" width="13.7109375" style="736" customWidth="1"/>
    <col min="17" max="17" width="18.85546875" style="737" customWidth="1"/>
    <col min="18" max="16384" width="12.7109375" style="736"/>
  </cols>
  <sheetData>
    <row r="1" spans="1:17" s="683" customFormat="1" ht="39" customHeight="1" thickBot="1">
      <c r="A1" s="1857" t="s">
        <v>453</v>
      </c>
      <c r="B1" s="1857"/>
      <c r="C1" s="1858"/>
      <c r="D1" s="1858"/>
      <c r="E1" s="1858"/>
      <c r="F1" s="1858"/>
      <c r="G1" s="1858"/>
      <c r="H1" s="1858"/>
      <c r="I1" s="1858"/>
      <c r="J1" s="1858"/>
      <c r="K1" s="1858"/>
      <c r="L1" s="1858"/>
      <c r="M1" s="1858"/>
      <c r="N1" s="1858"/>
      <c r="O1" s="1858"/>
      <c r="P1" s="1858"/>
      <c r="Q1" s="682"/>
    </row>
    <row r="2" spans="1:17" s="681" customFormat="1" ht="54.75" customHeight="1" thickBot="1">
      <c r="A2" s="676" t="s">
        <v>220</v>
      </c>
      <c r="B2" s="677" t="s">
        <v>76</v>
      </c>
      <c r="C2" s="595" t="s">
        <v>284</v>
      </c>
      <c r="D2" s="678" t="s">
        <v>151</v>
      </c>
      <c r="E2" s="1201" t="s">
        <v>867</v>
      </c>
      <c r="F2" s="1140" t="s">
        <v>864</v>
      </c>
      <c r="G2" s="1140" t="s">
        <v>912</v>
      </c>
      <c r="H2" s="1140" t="s">
        <v>864</v>
      </c>
      <c r="I2" s="1140" t="s">
        <v>912</v>
      </c>
      <c r="J2" s="1140" t="s">
        <v>864</v>
      </c>
      <c r="K2" s="1482" t="s">
        <v>820</v>
      </c>
      <c r="L2" s="1482" t="s">
        <v>956</v>
      </c>
      <c r="M2" s="1482" t="s">
        <v>957</v>
      </c>
      <c r="N2" s="679" t="s">
        <v>318</v>
      </c>
      <c r="O2" s="679" t="s">
        <v>319</v>
      </c>
      <c r="P2" s="680" t="s">
        <v>302</v>
      </c>
      <c r="Q2" s="738"/>
    </row>
    <row r="3" spans="1:17" s="686" customFormat="1" ht="42.95" customHeight="1" thickBot="1">
      <c r="A3" s="684" t="s">
        <v>264</v>
      </c>
      <c r="B3" s="1832" t="s">
        <v>77</v>
      </c>
      <c r="C3" s="1833"/>
      <c r="D3" s="1833"/>
      <c r="E3" s="1833"/>
      <c r="F3" s="1833"/>
      <c r="G3" s="1833"/>
      <c r="H3" s="1833"/>
      <c r="I3" s="1833"/>
      <c r="J3" s="1833"/>
      <c r="K3" s="1833"/>
      <c r="L3" s="1833"/>
      <c r="M3" s="1833"/>
      <c r="N3" s="1833"/>
      <c r="O3" s="1833"/>
      <c r="P3" s="1834"/>
      <c r="Q3" s="685"/>
    </row>
    <row r="4" spans="1:17" s="690" customFormat="1" ht="26.1" customHeight="1">
      <c r="A4" s="687" t="s">
        <v>60</v>
      </c>
      <c r="B4" s="688" t="s">
        <v>78</v>
      </c>
      <c r="C4" s="1861"/>
      <c r="D4" s="1861"/>
      <c r="E4" s="1861"/>
      <c r="F4" s="1861"/>
      <c r="G4" s="1861"/>
      <c r="H4" s="1861"/>
      <c r="I4" s="1861"/>
      <c r="J4" s="1861"/>
      <c r="K4" s="1861"/>
      <c r="L4" s="1861"/>
      <c r="M4" s="1861"/>
      <c r="N4" s="1862"/>
      <c r="O4" s="1862"/>
      <c r="P4" s="1863"/>
      <c r="Q4" s="689"/>
    </row>
    <row r="5" spans="1:17" s="690" customFormat="1" ht="21.95" customHeight="1">
      <c r="A5" s="691"/>
      <c r="B5" s="692" t="s">
        <v>40</v>
      </c>
      <c r="C5" s="1187">
        <v>0</v>
      </c>
      <c r="D5" s="1187"/>
      <c r="E5" s="1187">
        <f>C5+D5</f>
        <v>0</v>
      </c>
      <c r="F5" s="1187"/>
      <c r="G5" s="1187">
        <f>E5+F5</f>
        <v>0</v>
      </c>
      <c r="H5" s="1187"/>
      <c r="I5" s="1187">
        <f>G5+H5</f>
        <v>0</v>
      </c>
      <c r="J5" s="1187"/>
      <c r="K5" s="1187">
        <f>I5+J5</f>
        <v>0</v>
      </c>
      <c r="L5" s="1187"/>
      <c r="M5" s="1534"/>
      <c r="N5" s="1190"/>
      <c r="O5" s="1190"/>
      <c r="P5" s="1174"/>
      <c r="Q5" s="689">
        <f>N5+O5+P5</f>
        <v>0</v>
      </c>
    </row>
    <row r="6" spans="1:17" s="690" customFormat="1" ht="39" customHeight="1">
      <c r="A6" s="691"/>
      <c r="B6" s="692" t="s">
        <v>303</v>
      </c>
      <c r="C6" s="1187">
        <v>0</v>
      </c>
      <c r="D6" s="1187"/>
      <c r="E6" s="1187">
        <f>C6+D6</f>
        <v>0</v>
      </c>
      <c r="F6" s="1187"/>
      <c r="G6" s="1187">
        <f>E6+F6</f>
        <v>0</v>
      </c>
      <c r="H6" s="1187"/>
      <c r="I6" s="1187">
        <f>G6+H6</f>
        <v>0</v>
      </c>
      <c r="J6" s="1187"/>
      <c r="K6" s="1187">
        <f>I6+J6</f>
        <v>0</v>
      </c>
      <c r="L6" s="1187"/>
      <c r="M6" s="1534"/>
      <c r="N6" s="1190"/>
      <c r="O6" s="1190"/>
      <c r="P6" s="1174"/>
      <c r="Q6" s="689">
        <f t="shared" ref="Q6:Q69" si="0">N6+O6+P6</f>
        <v>0</v>
      </c>
    </row>
    <row r="7" spans="1:17" s="690" customFormat="1" ht="21.95" customHeight="1">
      <c r="A7" s="691"/>
      <c r="B7" s="692" t="s">
        <v>132</v>
      </c>
      <c r="C7" s="1187">
        <v>19200</v>
      </c>
      <c r="D7" s="1187">
        <v>3249</v>
      </c>
      <c r="E7" s="1187">
        <f>C7+D7</f>
        <v>22449</v>
      </c>
      <c r="F7" s="1187">
        <v>10000</v>
      </c>
      <c r="G7" s="1187">
        <f>E7+F7</f>
        <v>32449</v>
      </c>
      <c r="H7" s="1187">
        <v>2701</v>
      </c>
      <c r="I7" s="1187">
        <f>G7+H7</f>
        <v>35150</v>
      </c>
      <c r="J7" s="1187"/>
      <c r="K7" s="1187">
        <f>I7+J7</f>
        <v>35150</v>
      </c>
      <c r="L7" s="1696">
        <f>33955+3000</f>
        <v>36955</v>
      </c>
      <c r="M7" s="1534">
        <f t="shared" ref="M7:M9" si="1">L7/K7</f>
        <v>1.0513513513513513</v>
      </c>
      <c r="N7" s="1187">
        <v>35150</v>
      </c>
      <c r="O7" s="1190"/>
      <c r="P7" s="1174"/>
      <c r="Q7" s="689">
        <f t="shared" si="0"/>
        <v>35150</v>
      </c>
    </row>
    <row r="8" spans="1:17" s="690" customFormat="1" ht="21.95" customHeight="1">
      <c r="A8" s="691"/>
      <c r="B8" s="692" t="s">
        <v>50</v>
      </c>
      <c r="C8" s="1187">
        <v>0</v>
      </c>
      <c r="D8" s="1187"/>
      <c r="E8" s="1187">
        <f>C8+D8</f>
        <v>0</v>
      </c>
      <c r="F8" s="1187"/>
      <c r="G8" s="1187">
        <f>E8+F8</f>
        <v>0</v>
      </c>
      <c r="H8" s="1187"/>
      <c r="I8" s="1187">
        <f>G8+H8</f>
        <v>0</v>
      </c>
      <c r="J8" s="1187"/>
      <c r="K8" s="1187">
        <f>I8+J8</f>
        <v>0</v>
      </c>
      <c r="L8" s="1187"/>
      <c r="M8" s="1534"/>
      <c r="N8" s="1187">
        <v>0</v>
      </c>
      <c r="O8" s="1190"/>
      <c r="P8" s="1174"/>
      <c r="Q8" s="689">
        <f t="shared" si="0"/>
        <v>0</v>
      </c>
    </row>
    <row r="9" spans="1:17" s="690" customFormat="1" ht="26.1" customHeight="1">
      <c r="A9" s="691"/>
      <c r="B9" s="692" t="s">
        <v>177</v>
      </c>
      <c r="C9" s="1187">
        <f t="shared" ref="C9:P9" si="2">SUM(C5:C8)</f>
        <v>19200</v>
      </c>
      <c r="D9" s="1187">
        <f t="shared" si="2"/>
        <v>3249</v>
      </c>
      <c r="E9" s="1187">
        <f t="shared" si="2"/>
        <v>22449</v>
      </c>
      <c r="F9" s="1187">
        <f t="shared" si="2"/>
        <v>10000</v>
      </c>
      <c r="G9" s="1187">
        <f t="shared" si="2"/>
        <v>32449</v>
      </c>
      <c r="H9" s="1187">
        <f>SUM(H5:H8)</f>
        <v>2701</v>
      </c>
      <c r="I9" s="1187">
        <f>SUM(I5:I8)</f>
        <v>35150</v>
      </c>
      <c r="J9" s="1187">
        <f>SUM(J5:J8)</f>
        <v>0</v>
      </c>
      <c r="K9" s="1187">
        <f>SUM(K5:K8)</f>
        <v>35150</v>
      </c>
      <c r="L9" s="1187">
        <f>SUM(L5:L8)</f>
        <v>36955</v>
      </c>
      <c r="M9" s="1534">
        <f t="shared" si="1"/>
        <v>1.0513513513513513</v>
      </c>
      <c r="N9" s="1187">
        <f t="shared" si="2"/>
        <v>35150</v>
      </c>
      <c r="O9" s="1187">
        <f t="shared" si="2"/>
        <v>0</v>
      </c>
      <c r="P9" s="1191">
        <f t="shared" si="2"/>
        <v>0</v>
      </c>
      <c r="Q9" s="689">
        <f t="shared" si="0"/>
        <v>35150</v>
      </c>
    </row>
    <row r="10" spans="1:17" s="690" customFormat="1" ht="26.1" customHeight="1">
      <c r="A10" s="693" t="s">
        <v>61</v>
      </c>
      <c r="B10" s="694" t="s">
        <v>79</v>
      </c>
      <c r="C10" s="1822"/>
      <c r="D10" s="1822"/>
      <c r="E10" s="1822"/>
      <c r="F10" s="1822"/>
      <c r="G10" s="1822"/>
      <c r="H10" s="1822"/>
      <c r="I10" s="1822"/>
      <c r="J10" s="1822"/>
      <c r="K10" s="1822"/>
      <c r="L10" s="1822"/>
      <c r="M10" s="1822"/>
      <c r="N10" s="1823"/>
      <c r="O10" s="1823"/>
      <c r="P10" s="1824"/>
      <c r="Q10" s="689"/>
    </row>
    <row r="11" spans="1:17" s="690" customFormat="1" ht="21.95" customHeight="1">
      <c r="A11" s="691"/>
      <c r="B11" s="692" t="s">
        <v>40</v>
      </c>
      <c r="C11" s="1187">
        <v>0</v>
      </c>
      <c r="D11" s="1187"/>
      <c r="E11" s="1187">
        <f>C11+D11</f>
        <v>0</v>
      </c>
      <c r="F11" s="1187"/>
      <c r="G11" s="1187">
        <f>E11+F11</f>
        <v>0</v>
      </c>
      <c r="H11" s="1187"/>
      <c r="I11" s="1187">
        <f>G11+H11</f>
        <v>0</v>
      </c>
      <c r="J11" s="1187"/>
      <c r="K11" s="1187">
        <f>I11+J11</f>
        <v>0</v>
      </c>
      <c r="L11" s="1187"/>
      <c r="M11" s="1534"/>
      <c r="N11" s="1190"/>
      <c r="O11" s="1190"/>
      <c r="P11" s="1174"/>
      <c r="Q11" s="689">
        <f t="shared" si="0"/>
        <v>0</v>
      </c>
    </row>
    <row r="12" spans="1:17" s="690" customFormat="1" ht="39" customHeight="1">
      <c r="A12" s="691"/>
      <c r="B12" s="692" t="s">
        <v>303</v>
      </c>
      <c r="C12" s="1187">
        <v>0</v>
      </c>
      <c r="D12" s="1187"/>
      <c r="E12" s="1187">
        <f>C12+D12</f>
        <v>0</v>
      </c>
      <c r="F12" s="1187"/>
      <c r="G12" s="1187">
        <f>E12+F12</f>
        <v>0</v>
      </c>
      <c r="H12" s="1187"/>
      <c r="I12" s="1187">
        <f>G12+H12</f>
        <v>0</v>
      </c>
      <c r="J12" s="1187"/>
      <c r="K12" s="1187">
        <f>I12+J12</f>
        <v>0</v>
      </c>
      <c r="L12" s="1187"/>
      <c r="M12" s="1534"/>
      <c r="N12" s="1190"/>
      <c r="O12" s="1190"/>
      <c r="P12" s="1174"/>
      <c r="Q12" s="689">
        <f t="shared" si="0"/>
        <v>0</v>
      </c>
    </row>
    <row r="13" spans="1:17" s="690" customFormat="1" ht="21.95" customHeight="1">
      <c r="A13" s="691"/>
      <c r="B13" s="692" t="s">
        <v>132</v>
      </c>
      <c r="C13" s="1539">
        <v>4000</v>
      </c>
      <c r="D13" s="1539"/>
      <c r="E13" s="1187">
        <f>C13+D13</f>
        <v>4000</v>
      </c>
      <c r="F13" s="1187"/>
      <c r="G13" s="1187">
        <f>E13+F13</f>
        <v>4000</v>
      </c>
      <c r="H13" s="1187"/>
      <c r="I13" s="1187">
        <f>G13+H13</f>
        <v>4000</v>
      </c>
      <c r="J13" s="1187"/>
      <c r="K13" s="1187">
        <f>I13+J13</f>
        <v>4000</v>
      </c>
      <c r="L13" s="1696">
        <v>1639</v>
      </c>
      <c r="M13" s="1534">
        <f t="shared" ref="M13:M15" si="3">L13/K13</f>
        <v>0.40975</v>
      </c>
      <c r="N13" s="1539">
        <v>4000</v>
      </c>
      <c r="O13" s="1190"/>
      <c r="P13" s="1174"/>
      <c r="Q13" s="689">
        <f t="shared" si="0"/>
        <v>4000</v>
      </c>
    </row>
    <row r="14" spans="1:17" s="690" customFormat="1" ht="21.95" customHeight="1">
      <c r="A14" s="691"/>
      <c r="B14" s="692" t="s">
        <v>50</v>
      </c>
      <c r="C14" s="1187">
        <v>0</v>
      </c>
      <c r="D14" s="1187"/>
      <c r="E14" s="1187">
        <f>C14+D14</f>
        <v>0</v>
      </c>
      <c r="F14" s="1187"/>
      <c r="G14" s="1187">
        <f>E14+F14</f>
        <v>0</v>
      </c>
      <c r="H14" s="1187"/>
      <c r="I14" s="1187">
        <f>G14+H14</f>
        <v>0</v>
      </c>
      <c r="J14" s="1187"/>
      <c r="K14" s="1187">
        <f>I14+J14</f>
        <v>0</v>
      </c>
      <c r="L14" s="1187"/>
      <c r="M14" s="1534"/>
      <c r="N14" s="1187">
        <v>0</v>
      </c>
      <c r="O14" s="1190"/>
      <c r="P14" s="1174"/>
      <c r="Q14" s="689">
        <f t="shared" si="0"/>
        <v>0</v>
      </c>
    </row>
    <row r="15" spans="1:17" s="690" customFormat="1" ht="26.1" customHeight="1">
      <c r="A15" s="691"/>
      <c r="B15" s="692" t="s">
        <v>177</v>
      </c>
      <c r="C15" s="1187">
        <f t="shared" ref="C15:P15" si="4">SUM(C11:C14)</f>
        <v>4000</v>
      </c>
      <c r="D15" s="1187">
        <f t="shared" si="4"/>
        <v>0</v>
      </c>
      <c r="E15" s="1187">
        <f t="shared" si="4"/>
        <v>4000</v>
      </c>
      <c r="F15" s="1187">
        <f t="shared" si="4"/>
        <v>0</v>
      </c>
      <c r="G15" s="1187">
        <f t="shared" si="4"/>
        <v>4000</v>
      </c>
      <c r="H15" s="1187">
        <f>SUM(H11:H14)</f>
        <v>0</v>
      </c>
      <c r="I15" s="1187">
        <f>SUM(I11:I14)</f>
        <v>4000</v>
      </c>
      <c r="J15" s="1187">
        <f>SUM(J11:J14)</f>
        <v>0</v>
      </c>
      <c r="K15" s="1187">
        <f>SUM(K11:K14)</f>
        <v>4000</v>
      </c>
      <c r="L15" s="1187">
        <f>SUM(L11:L14)</f>
        <v>1639</v>
      </c>
      <c r="M15" s="1534">
        <f t="shared" si="3"/>
        <v>0.40975</v>
      </c>
      <c r="N15" s="1187">
        <f t="shared" si="4"/>
        <v>4000</v>
      </c>
      <c r="O15" s="1187">
        <f t="shared" si="4"/>
        <v>0</v>
      </c>
      <c r="P15" s="1191">
        <f t="shared" si="4"/>
        <v>0</v>
      </c>
      <c r="Q15" s="689">
        <f t="shared" si="0"/>
        <v>4000</v>
      </c>
    </row>
    <row r="16" spans="1:17" s="690" customFormat="1" ht="26.1" customHeight="1">
      <c r="A16" s="693" t="s">
        <v>62</v>
      </c>
      <c r="B16" s="694" t="s">
        <v>80</v>
      </c>
      <c r="C16" s="1822"/>
      <c r="D16" s="1822"/>
      <c r="E16" s="1822"/>
      <c r="F16" s="1822"/>
      <c r="G16" s="1822"/>
      <c r="H16" s="1822"/>
      <c r="I16" s="1822"/>
      <c r="J16" s="1822"/>
      <c r="K16" s="1822"/>
      <c r="L16" s="1822"/>
      <c r="M16" s="1822"/>
      <c r="N16" s="1823"/>
      <c r="O16" s="1823"/>
      <c r="P16" s="1824"/>
      <c r="Q16" s="689"/>
    </row>
    <row r="17" spans="1:17" s="690" customFormat="1" ht="21.95" customHeight="1">
      <c r="A17" s="691"/>
      <c r="B17" s="692" t="s">
        <v>40</v>
      </c>
      <c r="C17" s="1187">
        <v>0</v>
      </c>
      <c r="D17" s="1187"/>
      <c r="E17" s="1187">
        <f>C17+D17</f>
        <v>0</v>
      </c>
      <c r="F17" s="1187"/>
      <c r="G17" s="1187">
        <f>E17+F17</f>
        <v>0</v>
      </c>
      <c r="H17" s="1187"/>
      <c r="I17" s="1187">
        <f>H17+G17</f>
        <v>0</v>
      </c>
      <c r="J17" s="1187"/>
      <c r="K17" s="1187">
        <f>J17+I17</f>
        <v>0</v>
      </c>
      <c r="L17" s="1187">
        <v>242</v>
      </c>
      <c r="M17" s="1534"/>
      <c r="N17" s="1190"/>
      <c r="O17" s="1190"/>
      <c r="P17" s="1174"/>
      <c r="Q17" s="689">
        <f t="shared" si="0"/>
        <v>0</v>
      </c>
    </row>
    <row r="18" spans="1:17" s="690" customFormat="1" ht="39" customHeight="1">
      <c r="A18" s="691"/>
      <c r="B18" s="692" t="s">
        <v>303</v>
      </c>
      <c r="C18" s="1187">
        <v>0</v>
      </c>
      <c r="D18" s="1187"/>
      <c r="E18" s="1187">
        <f>C18+D18</f>
        <v>0</v>
      </c>
      <c r="F18" s="1187"/>
      <c r="G18" s="1187">
        <f>E18+F18</f>
        <v>0</v>
      </c>
      <c r="H18" s="1187"/>
      <c r="I18" s="1187">
        <f>G18+H18</f>
        <v>0</v>
      </c>
      <c r="J18" s="1187"/>
      <c r="K18" s="1187">
        <f>J18+I18</f>
        <v>0</v>
      </c>
      <c r="L18" s="1187">
        <v>124</v>
      </c>
      <c r="M18" s="1534"/>
      <c r="N18" s="1190"/>
      <c r="O18" s="1190"/>
      <c r="P18" s="1174"/>
      <c r="Q18" s="689">
        <f t="shared" si="0"/>
        <v>0</v>
      </c>
    </row>
    <row r="19" spans="1:17" s="690" customFormat="1" ht="21.95" customHeight="1">
      <c r="A19" s="691"/>
      <c r="B19" s="692" t="s">
        <v>132</v>
      </c>
      <c r="C19" s="1187">
        <v>3500</v>
      </c>
      <c r="D19" s="1187">
        <v>1819</v>
      </c>
      <c r="E19" s="1187">
        <f>C19+D19</f>
        <v>5319</v>
      </c>
      <c r="F19" s="1187"/>
      <c r="G19" s="1187">
        <f>E19+F19</f>
        <v>5319</v>
      </c>
      <c r="H19" s="1187">
        <v>400</v>
      </c>
      <c r="I19" s="1187">
        <f>G19+H19</f>
        <v>5719</v>
      </c>
      <c r="J19" s="1187"/>
      <c r="K19" s="1187">
        <f>J19+I19</f>
        <v>5719</v>
      </c>
      <c r="L19" s="1696">
        <v>3096</v>
      </c>
      <c r="M19" s="1534">
        <f t="shared" ref="M19:M21" si="5">L19/K19</f>
        <v>0.54135338345864659</v>
      </c>
      <c r="N19" s="1187">
        <v>5719</v>
      </c>
      <c r="O19" s="1190"/>
      <c r="P19" s="1174"/>
      <c r="Q19" s="689">
        <f t="shared" si="0"/>
        <v>5719</v>
      </c>
    </row>
    <row r="20" spans="1:17" s="690" customFormat="1" ht="21.95" customHeight="1">
      <c r="A20" s="691"/>
      <c r="B20" s="692" t="s">
        <v>50</v>
      </c>
      <c r="C20" s="1187">
        <v>0</v>
      </c>
      <c r="D20" s="1187"/>
      <c r="E20" s="1187">
        <f>C20+D20</f>
        <v>0</v>
      </c>
      <c r="F20" s="1187"/>
      <c r="G20" s="1187">
        <f>E20+F20</f>
        <v>0</v>
      </c>
      <c r="H20" s="1187"/>
      <c r="I20" s="1187">
        <f>G20+H20</f>
        <v>0</v>
      </c>
      <c r="J20" s="1187"/>
      <c r="K20" s="1187">
        <f>J20+I20</f>
        <v>0</v>
      </c>
      <c r="L20" s="1187"/>
      <c r="M20" s="1534"/>
      <c r="N20" s="1187">
        <v>0</v>
      </c>
      <c r="O20" s="1190"/>
      <c r="P20" s="1174"/>
      <c r="Q20" s="689">
        <f t="shared" si="0"/>
        <v>0</v>
      </c>
    </row>
    <row r="21" spans="1:17" s="690" customFormat="1" ht="26.1" customHeight="1">
      <c r="A21" s="691"/>
      <c r="B21" s="692" t="s">
        <v>177</v>
      </c>
      <c r="C21" s="1187">
        <f t="shared" ref="C21:P21" si="6">SUM(C17:C20)</f>
        <v>3500</v>
      </c>
      <c r="D21" s="1187">
        <f t="shared" si="6"/>
        <v>1819</v>
      </c>
      <c r="E21" s="1187">
        <f t="shared" si="6"/>
        <v>5319</v>
      </c>
      <c r="F21" s="1187">
        <f t="shared" si="6"/>
        <v>0</v>
      </c>
      <c r="G21" s="1187">
        <f t="shared" si="6"/>
        <v>5319</v>
      </c>
      <c r="H21" s="1187">
        <f>SUM(H17:H20)</f>
        <v>400</v>
      </c>
      <c r="I21" s="1187">
        <f>SUM(I17:I20)</f>
        <v>5719</v>
      </c>
      <c r="J21" s="1187">
        <f>SUM(J17:J20)</f>
        <v>0</v>
      </c>
      <c r="K21" s="1187">
        <f>SUM(K17:K20)</f>
        <v>5719</v>
      </c>
      <c r="L21" s="1187">
        <f>SUM(L17:L20)</f>
        <v>3462</v>
      </c>
      <c r="M21" s="1534">
        <f t="shared" si="5"/>
        <v>0.60535058576674239</v>
      </c>
      <c r="N21" s="1187">
        <f t="shared" si="6"/>
        <v>5719</v>
      </c>
      <c r="O21" s="1187">
        <f t="shared" si="6"/>
        <v>0</v>
      </c>
      <c r="P21" s="1191">
        <f t="shared" si="6"/>
        <v>0</v>
      </c>
      <c r="Q21" s="689">
        <f t="shared" si="0"/>
        <v>5719</v>
      </c>
    </row>
    <row r="22" spans="1:17" s="690" customFormat="1" ht="26.1" customHeight="1">
      <c r="A22" s="693" t="s">
        <v>63</v>
      </c>
      <c r="B22" s="694" t="s">
        <v>81</v>
      </c>
      <c r="C22" s="1822"/>
      <c r="D22" s="1822"/>
      <c r="E22" s="1822"/>
      <c r="F22" s="1822"/>
      <c r="G22" s="1822"/>
      <c r="H22" s="1822"/>
      <c r="I22" s="1822"/>
      <c r="J22" s="1822"/>
      <c r="K22" s="1822"/>
      <c r="L22" s="1822"/>
      <c r="M22" s="1822"/>
      <c r="N22" s="1823"/>
      <c r="O22" s="1823"/>
      <c r="P22" s="1824"/>
      <c r="Q22" s="689"/>
    </row>
    <row r="23" spans="1:17" s="690" customFormat="1" ht="21.95" customHeight="1">
      <c r="A23" s="691"/>
      <c r="B23" s="692" t="s">
        <v>40</v>
      </c>
      <c r="C23" s="1187">
        <v>0</v>
      </c>
      <c r="D23" s="1187"/>
      <c r="E23" s="1187">
        <f>C23+D23</f>
        <v>0</v>
      </c>
      <c r="F23" s="1187"/>
      <c r="G23" s="1187">
        <f>E23+F23</f>
        <v>0</v>
      </c>
      <c r="H23" s="1187"/>
      <c r="I23" s="1187">
        <f>G23+H23</f>
        <v>0</v>
      </c>
      <c r="J23" s="1187"/>
      <c r="K23" s="1187">
        <f>I23+J23</f>
        <v>0</v>
      </c>
      <c r="L23" s="1187"/>
      <c r="M23" s="1534"/>
      <c r="N23" s="1190"/>
      <c r="O23" s="1190"/>
      <c r="P23" s="1174"/>
      <c r="Q23" s="689">
        <f t="shared" si="0"/>
        <v>0</v>
      </c>
    </row>
    <row r="24" spans="1:17" s="690" customFormat="1" ht="39" customHeight="1">
      <c r="A24" s="691"/>
      <c r="B24" s="692" t="s">
        <v>303</v>
      </c>
      <c r="C24" s="1187">
        <v>0</v>
      </c>
      <c r="D24" s="1187"/>
      <c r="E24" s="1187">
        <f>C24+D24</f>
        <v>0</v>
      </c>
      <c r="F24" s="1187"/>
      <c r="G24" s="1187">
        <f>E24+F24</f>
        <v>0</v>
      </c>
      <c r="H24" s="1187"/>
      <c r="I24" s="1187">
        <f>G24+H24</f>
        <v>0</v>
      </c>
      <c r="J24" s="1187"/>
      <c r="K24" s="1187">
        <f>I24+J24</f>
        <v>0</v>
      </c>
      <c r="L24" s="1187"/>
      <c r="M24" s="1534"/>
      <c r="N24" s="1190"/>
      <c r="O24" s="1190"/>
      <c r="P24" s="1174"/>
      <c r="Q24" s="689">
        <f t="shared" si="0"/>
        <v>0</v>
      </c>
    </row>
    <row r="25" spans="1:17" s="690" customFormat="1" ht="21.95" customHeight="1">
      <c r="A25" s="691"/>
      <c r="B25" s="692" t="s">
        <v>132</v>
      </c>
      <c r="C25" s="1187">
        <v>1500</v>
      </c>
      <c r="D25" s="1187"/>
      <c r="E25" s="1187">
        <f>C25+D25</f>
        <v>1500</v>
      </c>
      <c r="F25" s="1187"/>
      <c r="G25" s="1187">
        <f>E25+F25</f>
        <v>1500</v>
      </c>
      <c r="H25" s="1187"/>
      <c r="I25" s="1187">
        <f>G25+H25</f>
        <v>1500</v>
      </c>
      <c r="J25" s="1187"/>
      <c r="K25" s="1187">
        <f>I25+J25</f>
        <v>1500</v>
      </c>
      <c r="L25" s="1618">
        <v>0</v>
      </c>
      <c r="M25" s="1534">
        <f t="shared" ref="M25:M27" si="7">L25/K25</f>
        <v>0</v>
      </c>
      <c r="N25" s="1187">
        <v>1500</v>
      </c>
      <c r="O25" s="1190"/>
      <c r="P25" s="1174"/>
      <c r="Q25" s="689">
        <f t="shared" si="0"/>
        <v>1500</v>
      </c>
    </row>
    <row r="26" spans="1:17" s="690" customFormat="1" ht="21.95" customHeight="1">
      <c r="A26" s="691"/>
      <c r="B26" s="692" t="s">
        <v>50</v>
      </c>
      <c r="C26" s="1187">
        <v>0</v>
      </c>
      <c r="D26" s="1187"/>
      <c r="E26" s="1187">
        <f>C26+D26</f>
        <v>0</v>
      </c>
      <c r="F26" s="1187"/>
      <c r="G26" s="1187">
        <f>E26+F26</f>
        <v>0</v>
      </c>
      <c r="H26" s="1187"/>
      <c r="I26" s="1187">
        <f>G26+H26</f>
        <v>0</v>
      </c>
      <c r="J26" s="1187"/>
      <c r="K26" s="1187">
        <f>I26+J26</f>
        <v>0</v>
      </c>
      <c r="L26" s="1187"/>
      <c r="M26" s="1534"/>
      <c r="N26" s="1187">
        <v>0</v>
      </c>
      <c r="O26" s="1190"/>
      <c r="P26" s="1174"/>
      <c r="Q26" s="689">
        <f t="shared" si="0"/>
        <v>0</v>
      </c>
    </row>
    <row r="27" spans="1:17" s="690" customFormat="1" ht="26.1" customHeight="1">
      <c r="A27" s="691"/>
      <c r="B27" s="692" t="s">
        <v>177</v>
      </c>
      <c r="C27" s="1187">
        <f t="shared" ref="C27:P27" si="8">SUM(C23:C26)</f>
        <v>1500</v>
      </c>
      <c r="D27" s="1187">
        <f t="shared" si="8"/>
        <v>0</v>
      </c>
      <c r="E27" s="1187">
        <f t="shared" si="8"/>
        <v>1500</v>
      </c>
      <c r="F27" s="1187">
        <f t="shared" si="8"/>
        <v>0</v>
      </c>
      <c r="G27" s="1187">
        <f t="shared" si="8"/>
        <v>1500</v>
      </c>
      <c r="H27" s="1187">
        <f>SUM(H23:H26)</f>
        <v>0</v>
      </c>
      <c r="I27" s="1187">
        <f>SUM(I23:I26)</f>
        <v>1500</v>
      </c>
      <c r="J27" s="1187">
        <f>SUM(J23:J26)</f>
        <v>0</v>
      </c>
      <c r="K27" s="1187">
        <f>SUM(K23:K26)</f>
        <v>1500</v>
      </c>
      <c r="L27" s="1618">
        <f>SUM(L23:L26)</f>
        <v>0</v>
      </c>
      <c r="M27" s="1534">
        <f t="shared" si="7"/>
        <v>0</v>
      </c>
      <c r="N27" s="1187">
        <f t="shared" si="8"/>
        <v>1500</v>
      </c>
      <c r="O27" s="1187">
        <f t="shared" si="8"/>
        <v>0</v>
      </c>
      <c r="P27" s="1191">
        <f t="shared" si="8"/>
        <v>0</v>
      </c>
      <c r="Q27" s="689">
        <f t="shared" si="0"/>
        <v>1500</v>
      </c>
    </row>
    <row r="28" spans="1:17" s="690" customFormat="1" ht="26.1" customHeight="1">
      <c r="A28" s="693" t="s">
        <v>64</v>
      </c>
      <c r="B28" s="694" t="s">
        <v>83</v>
      </c>
      <c r="C28" s="1825"/>
      <c r="D28" s="1825"/>
      <c r="E28" s="1825"/>
      <c r="F28" s="1825"/>
      <c r="G28" s="1825"/>
      <c r="H28" s="1825"/>
      <c r="I28" s="1825"/>
      <c r="J28" s="1825"/>
      <c r="K28" s="1825"/>
      <c r="L28" s="1825"/>
      <c r="M28" s="1825"/>
      <c r="N28" s="1823"/>
      <c r="O28" s="1823"/>
      <c r="P28" s="1824"/>
      <c r="Q28" s="689"/>
    </row>
    <row r="29" spans="1:17" s="690" customFormat="1" ht="21.95" customHeight="1">
      <c r="A29" s="691"/>
      <c r="B29" s="692" t="s">
        <v>40</v>
      </c>
      <c r="C29" s="1187">
        <v>0</v>
      </c>
      <c r="D29" s="1187"/>
      <c r="E29" s="1187">
        <f>C29+D29</f>
        <v>0</v>
      </c>
      <c r="F29" s="1187"/>
      <c r="G29" s="1187">
        <f>E29+F29</f>
        <v>0</v>
      </c>
      <c r="H29" s="1187"/>
      <c r="I29" s="1187">
        <f>G29+H29</f>
        <v>0</v>
      </c>
      <c r="J29" s="1187"/>
      <c r="K29" s="1187">
        <f>I29+J29</f>
        <v>0</v>
      </c>
      <c r="L29" s="1187"/>
      <c r="M29" s="1534"/>
      <c r="N29" s="1190"/>
      <c r="O29" s="1190"/>
      <c r="P29" s="1174"/>
      <c r="Q29" s="689">
        <f t="shared" si="0"/>
        <v>0</v>
      </c>
    </row>
    <row r="30" spans="1:17" s="690" customFormat="1" ht="39" customHeight="1">
      <c r="A30" s="691"/>
      <c r="B30" s="692" t="s">
        <v>303</v>
      </c>
      <c r="C30" s="1187">
        <v>0</v>
      </c>
      <c r="D30" s="1187"/>
      <c r="E30" s="1187">
        <f>C30+D30</f>
        <v>0</v>
      </c>
      <c r="F30" s="1187"/>
      <c r="G30" s="1187">
        <f>E30+F30</f>
        <v>0</v>
      </c>
      <c r="H30" s="1187"/>
      <c r="I30" s="1187">
        <f>G30+H30</f>
        <v>0</v>
      </c>
      <c r="J30" s="1187"/>
      <c r="K30" s="1187">
        <f>I30+J30</f>
        <v>0</v>
      </c>
      <c r="L30" s="1187"/>
      <c r="M30" s="1534"/>
      <c r="N30" s="1190"/>
      <c r="O30" s="1190"/>
      <c r="P30" s="1174"/>
      <c r="Q30" s="689">
        <f t="shared" si="0"/>
        <v>0</v>
      </c>
    </row>
    <row r="31" spans="1:17" s="690" customFormat="1" ht="21.95" customHeight="1">
      <c r="A31" s="691"/>
      <c r="B31" s="692" t="s">
        <v>132</v>
      </c>
      <c r="C31" s="1187">
        <v>11000</v>
      </c>
      <c r="D31" s="1187"/>
      <c r="E31" s="1187">
        <f>C31+D31</f>
        <v>11000</v>
      </c>
      <c r="F31" s="1187"/>
      <c r="G31" s="1187">
        <f>E31+F31</f>
        <v>11000</v>
      </c>
      <c r="H31" s="1187"/>
      <c r="I31" s="1187">
        <f>G31+H31</f>
        <v>11000</v>
      </c>
      <c r="J31" s="1187"/>
      <c r="K31" s="1187">
        <f>I31+J31</f>
        <v>11000</v>
      </c>
      <c r="L31" s="1696">
        <v>10411</v>
      </c>
      <c r="M31" s="1534">
        <f t="shared" ref="M31:M33" si="9">L31/K31</f>
        <v>0.94645454545454544</v>
      </c>
      <c r="N31" s="1187">
        <v>11000</v>
      </c>
      <c r="O31" s="1190"/>
      <c r="P31" s="1174"/>
      <c r="Q31" s="689">
        <f t="shared" si="0"/>
        <v>11000</v>
      </c>
    </row>
    <row r="32" spans="1:17" s="690" customFormat="1" ht="21.95" customHeight="1">
      <c r="A32" s="691"/>
      <c r="B32" s="692" t="s">
        <v>50</v>
      </c>
      <c r="C32" s="1187">
        <v>0</v>
      </c>
      <c r="D32" s="1187"/>
      <c r="E32" s="1187">
        <f>C32+D32</f>
        <v>0</v>
      </c>
      <c r="F32" s="1187"/>
      <c r="G32" s="1187">
        <f>E32+F32</f>
        <v>0</v>
      </c>
      <c r="H32" s="1187"/>
      <c r="I32" s="1187">
        <f>G32+H32</f>
        <v>0</v>
      </c>
      <c r="J32" s="1187"/>
      <c r="K32" s="1187">
        <f>I32+J32</f>
        <v>0</v>
      </c>
      <c r="L32" s="1187"/>
      <c r="M32" s="1534"/>
      <c r="N32" s="1187">
        <v>0</v>
      </c>
      <c r="O32" s="1190"/>
      <c r="P32" s="1174"/>
      <c r="Q32" s="689">
        <f t="shared" si="0"/>
        <v>0</v>
      </c>
    </row>
    <row r="33" spans="1:17" s="690" customFormat="1" ht="26.1" customHeight="1">
      <c r="A33" s="691"/>
      <c r="B33" s="692" t="s">
        <v>177</v>
      </c>
      <c r="C33" s="1187">
        <f t="shared" ref="C33:P33" si="10">SUM(C29:C32)</f>
        <v>11000</v>
      </c>
      <c r="D33" s="1187">
        <f t="shared" si="10"/>
        <v>0</v>
      </c>
      <c r="E33" s="1187">
        <f t="shared" si="10"/>
        <v>11000</v>
      </c>
      <c r="F33" s="1187">
        <f t="shared" si="10"/>
        <v>0</v>
      </c>
      <c r="G33" s="1187">
        <f t="shared" si="10"/>
        <v>11000</v>
      </c>
      <c r="H33" s="1187">
        <f>SUM(H29:H32)</f>
        <v>0</v>
      </c>
      <c r="I33" s="1187">
        <f>SUM(I29:I32)</f>
        <v>11000</v>
      </c>
      <c r="J33" s="1187">
        <f>SUM(J29:J32)</f>
        <v>0</v>
      </c>
      <c r="K33" s="1187">
        <f>SUM(K29:K32)</f>
        <v>11000</v>
      </c>
      <c r="L33" s="1187">
        <f>SUM(L29:L32)</f>
        <v>10411</v>
      </c>
      <c r="M33" s="1534">
        <f t="shared" si="9"/>
        <v>0.94645454545454544</v>
      </c>
      <c r="N33" s="1187">
        <f t="shared" si="10"/>
        <v>11000</v>
      </c>
      <c r="O33" s="1187">
        <f t="shared" si="10"/>
        <v>0</v>
      </c>
      <c r="P33" s="1191">
        <f t="shared" si="10"/>
        <v>0</v>
      </c>
      <c r="Q33" s="689">
        <f t="shared" si="0"/>
        <v>11000</v>
      </c>
    </row>
    <row r="34" spans="1:17" s="690" customFormat="1" ht="26.1" customHeight="1">
      <c r="A34" s="693" t="s">
        <v>65</v>
      </c>
      <c r="B34" s="694" t="s">
        <v>84</v>
      </c>
      <c r="C34" s="1825"/>
      <c r="D34" s="1825"/>
      <c r="E34" s="1825"/>
      <c r="F34" s="1825"/>
      <c r="G34" s="1825"/>
      <c r="H34" s="1825"/>
      <c r="I34" s="1825"/>
      <c r="J34" s="1825"/>
      <c r="K34" s="1825"/>
      <c r="L34" s="1825"/>
      <c r="M34" s="1825"/>
      <c r="N34" s="1823"/>
      <c r="O34" s="1823"/>
      <c r="P34" s="1824"/>
      <c r="Q34" s="689"/>
    </row>
    <row r="35" spans="1:17" s="690" customFormat="1" ht="21.95" customHeight="1">
      <c r="A35" s="691"/>
      <c r="B35" s="692" t="s">
        <v>40</v>
      </c>
      <c r="C35" s="1187">
        <v>0</v>
      </c>
      <c r="D35" s="1187"/>
      <c r="E35" s="1187">
        <v>2000</v>
      </c>
      <c r="F35" s="1187"/>
      <c r="G35" s="1187">
        <f>E35+F35</f>
        <v>2000</v>
      </c>
      <c r="H35" s="1187"/>
      <c r="I35" s="1187">
        <f>G35+H35</f>
        <v>2000</v>
      </c>
      <c r="J35" s="1187"/>
      <c r="K35" s="1187">
        <f>I35+J35</f>
        <v>2000</v>
      </c>
      <c r="L35" s="1696">
        <f>711+78</f>
        <v>789</v>
      </c>
      <c r="M35" s="1534">
        <f>L35/K35</f>
        <v>0.39450000000000002</v>
      </c>
      <c r="N35" s="1190">
        <v>2000</v>
      </c>
      <c r="O35" s="1190"/>
      <c r="P35" s="1174"/>
      <c r="Q35" s="689">
        <f t="shared" si="0"/>
        <v>2000</v>
      </c>
    </row>
    <row r="36" spans="1:17" s="690" customFormat="1" ht="39" customHeight="1">
      <c r="A36" s="691"/>
      <c r="B36" s="692" t="s">
        <v>303</v>
      </c>
      <c r="C36" s="1187">
        <v>0</v>
      </c>
      <c r="D36" s="1187"/>
      <c r="E36" s="1187">
        <f>C36+D36</f>
        <v>0</v>
      </c>
      <c r="F36" s="1187"/>
      <c r="G36" s="1187">
        <f>E36+F36</f>
        <v>0</v>
      </c>
      <c r="H36" s="1187"/>
      <c r="I36" s="1187">
        <f>G36+H36</f>
        <v>0</v>
      </c>
      <c r="J36" s="1187"/>
      <c r="K36" s="1187">
        <f>I36+J36</f>
        <v>0</v>
      </c>
      <c r="L36" s="1696">
        <v>192</v>
      </c>
      <c r="M36" s="1534"/>
      <c r="N36" s="1190"/>
      <c r="O36" s="1190"/>
      <c r="P36" s="1174"/>
      <c r="Q36" s="689">
        <f t="shared" si="0"/>
        <v>0</v>
      </c>
    </row>
    <row r="37" spans="1:17" s="690" customFormat="1" ht="27.75" customHeight="1">
      <c r="A37" s="691"/>
      <c r="B37" s="692" t="s">
        <v>132</v>
      </c>
      <c r="C37" s="1539">
        <f>25800+34000</f>
        <v>59800</v>
      </c>
      <c r="D37" s="1539">
        <v>1140</v>
      </c>
      <c r="E37" s="1187">
        <f>C37+D37</f>
        <v>60940</v>
      </c>
      <c r="F37" s="1187"/>
      <c r="G37" s="1187">
        <f>E37+F37</f>
        <v>60940</v>
      </c>
      <c r="H37" s="1187"/>
      <c r="I37" s="1187">
        <f>G37+H37</f>
        <v>60940</v>
      </c>
      <c r="J37" s="1187">
        <f>5000+60240+300-305-2250-710</f>
        <v>62275</v>
      </c>
      <c r="K37" s="1187">
        <f>I37+J37</f>
        <v>123215</v>
      </c>
      <c r="L37" s="1696">
        <f>13493+78075</f>
        <v>91568</v>
      </c>
      <c r="M37" s="1534">
        <f t="shared" ref="M37:M39" si="11">L37/K37</f>
        <v>0.74315627155784603</v>
      </c>
      <c r="N37" s="1539">
        <v>123215</v>
      </c>
      <c r="O37" s="1190"/>
      <c r="P37" s="1174"/>
      <c r="Q37" s="689">
        <f t="shared" si="0"/>
        <v>123215</v>
      </c>
    </row>
    <row r="38" spans="1:17" s="690" customFormat="1" ht="33.75" customHeight="1">
      <c r="A38" s="691"/>
      <c r="B38" s="692" t="s">
        <v>123</v>
      </c>
      <c r="C38" s="1187">
        <v>0</v>
      </c>
      <c r="D38" s="1187"/>
      <c r="E38" s="1187">
        <f>C38+D38</f>
        <v>0</v>
      </c>
      <c r="F38" s="1187"/>
      <c r="G38" s="1187">
        <f>E38+F38</f>
        <v>0</v>
      </c>
      <c r="H38" s="1187"/>
      <c r="I38" s="1187">
        <f>G38+H38</f>
        <v>0</v>
      </c>
      <c r="J38" s="1187"/>
      <c r="K38" s="1187">
        <f>I38+J38</f>
        <v>0</v>
      </c>
      <c r="L38" s="1187"/>
      <c r="M38" s="1534"/>
      <c r="N38" s="1187">
        <v>0</v>
      </c>
      <c r="O38" s="1190"/>
      <c r="P38" s="1174"/>
      <c r="Q38" s="689">
        <f t="shared" si="0"/>
        <v>0</v>
      </c>
    </row>
    <row r="39" spans="1:17" s="690" customFormat="1" ht="26.1" customHeight="1">
      <c r="A39" s="691"/>
      <c r="B39" s="692" t="s">
        <v>177</v>
      </c>
      <c r="C39" s="1187">
        <f t="shared" ref="C39:P39" si="12">SUM(C35:C38)</f>
        <v>59800</v>
      </c>
      <c r="D39" s="1187">
        <f t="shared" si="12"/>
        <v>1140</v>
      </c>
      <c r="E39" s="1187">
        <f t="shared" si="12"/>
        <v>62940</v>
      </c>
      <c r="F39" s="1187">
        <f t="shared" si="12"/>
        <v>0</v>
      </c>
      <c r="G39" s="1187">
        <f t="shared" si="12"/>
        <v>62940</v>
      </c>
      <c r="H39" s="1187">
        <f>SUM(H35:H38)</f>
        <v>0</v>
      </c>
      <c r="I39" s="1187">
        <f>SUM(I35:I38)</f>
        <v>62940</v>
      </c>
      <c r="J39" s="1187">
        <f>SUM(J35:J38)</f>
        <v>62275</v>
      </c>
      <c r="K39" s="1187">
        <f>SUM(K35:K38)</f>
        <v>125215</v>
      </c>
      <c r="L39" s="1187">
        <f>SUM(L35:L38)</f>
        <v>92549</v>
      </c>
      <c r="M39" s="1534">
        <f t="shared" si="11"/>
        <v>0.73912071237471544</v>
      </c>
      <c r="N39" s="1187">
        <f t="shared" si="12"/>
        <v>125215</v>
      </c>
      <c r="O39" s="1187">
        <f t="shared" si="12"/>
        <v>0</v>
      </c>
      <c r="P39" s="1191">
        <f t="shared" si="12"/>
        <v>0</v>
      </c>
      <c r="Q39" s="689">
        <f t="shared" si="0"/>
        <v>125215</v>
      </c>
    </row>
    <row r="40" spans="1:17" s="690" customFormat="1" ht="26.1" customHeight="1">
      <c r="A40" s="693" t="s">
        <v>66</v>
      </c>
      <c r="B40" s="694" t="s">
        <v>85</v>
      </c>
      <c r="C40" s="1822"/>
      <c r="D40" s="1822"/>
      <c r="E40" s="1822"/>
      <c r="F40" s="1822"/>
      <c r="G40" s="1822"/>
      <c r="H40" s="1822"/>
      <c r="I40" s="1822"/>
      <c r="J40" s="1822"/>
      <c r="K40" s="1822"/>
      <c r="L40" s="1822"/>
      <c r="M40" s="1822"/>
      <c r="N40" s="1823"/>
      <c r="O40" s="1823"/>
      <c r="P40" s="1824"/>
      <c r="Q40" s="689"/>
    </row>
    <row r="41" spans="1:17" s="690" customFormat="1" ht="21.95" customHeight="1">
      <c r="A41" s="691"/>
      <c r="B41" s="692" t="s">
        <v>40</v>
      </c>
      <c r="C41" s="1187">
        <v>0</v>
      </c>
      <c r="D41" s="1187"/>
      <c r="E41" s="1187">
        <f>C41+D41</f>
        <v>0</v>
      </c>
      <c r="F41" s="1187"/>
      <c r="G41" s="1187">
        <f>E41+F41</f>
        <v>0</v>
      </c>
      <c r="H41" s="1187"/>
      <c r="I41" s="1187">
        <f>G41+H41</f>
        <v>0</v>
      </c>
      <c r="J41" s="1187"/>
      <c r="K41" s="1187">
        <f>I41+J41</f>
        <v>0</v>
      </c>
      <c r="L41" s="1187"/>
      <c r="M41" s="1534"/>
      <c r="N41" s="1190"/>
      <c r="O41" s="1190"/>
      <c r="P41" s="1174"/>
      <c r="Q41" s="689">
        <f t="shared" si="0"/>
        <v>0</v>
      </c>
    </row>
    <row r="42" spans="1:17" s="690" customFormat="1" ht="39" customHeight="1">
      <c r="A42" s="691"/>
      <c r="B42" s="692" t="s">
        <v>303</v>
      </c>
      <c r="C42" s="1187">
        <v>0</v>
      </c>
      <c r="D42" s="1187"/>
      <c r="E42" s="1187">
        <f>C42+D42</f>
        <v>0</v>
      </c>
      <c r="F42" s="1187"/>
      <c r="G42" s="1187">
        <f>E42+F42</f>
        <v>0</v>
      </c>
      <c r="H42" s="1187"/>
      <c r="I42" s="1187">
        <f>G42+H42</f>
        <v>0</v>
      </c>
      <c r="J42" s="1187"/>
      <c r="K42" s="1187">
        <f>I42+J42</f>
        <v>0</v>
      </c>
      <c r="L42" s="1187"/>
      <c r="M42" s="1534"/>
      <c r="N42" s="1190"/>
      <c r="O42" s="1190"/>
      <c r="P42" s="1174"/>
      <c r="Q42" s="689">
        <f t="shared" si="0"/>
        <v>0</v>
      </c>
    </row>
    <row r="43" spans="1:17" s="690" customFormat="1" ht="21.95" customHeight="1">
      <c r="A43" s="691"/>
      <c r="B43" s="692" t="s">
        <v>132</v>
      </c>
      <c r="C43" s="1187">
        <v>60000</v>
      </c>
      <c r="D43" s="1187"/>
      <c r="E43" s="1187">
        <f>C43+D43</f>
        <v>60000</v>
      </c>
      <c r="F43" s="1187"/>
      <c r="G43" s="1187">
        <f>E43+F43</f>
        <v>60000</v>
      </c>
      <c r="H43" s="1187"/>
      <c r="I43" s="1187">
        <f>G43+H43</f>
        <v>60000</v>
      </c>
      <c r="J43" s="1187"/>
      <c r="K43" s="1539">
        <f>I43+J43</f>
        <v>60000</v>
      </c>
      <c r="L43" s="1696">
        <f>46844+829</f>
        <v>47673</v>
      </c>
      <c r="M43" s="1534">
        <f t="shared" ref="M43:M45" si="13">L43/K43</f>
        <v>0.79454999999999998</v>
      </c>
      <c r="N43" s="1187">
        <v>60000</v>
      </c>
      <c r="O43" s="1190"/>
      <c r="P43" s="1174"/>
      <c r="Q43" s="689">
        <f t="shared" si="0"/>
        <v>60000</v>
      </c>
    </row>
    <row r="44" spans="1:17" s="690" customFormat="1" ht="21.95" customHeight="1">
      <c r="A44" s="691"/>
      <c r="B44" s="692" t="s">
        <v>50</v>
      </c>
      <c r="C44" s="1187">
        <v>0</v>
      </c>
      <c r="D44" s="1187"/>
      <c r="E44" s="1187">
        <f>C44+D44</f>
        <v>0</v>
      </c>
      <c r="F44" s="1187"/>
      <c r="G44" s="1187">
        <f>E44+F44</f>
        <v>0</v>
      </c>
      <c r="H44" s="1187"/>
      <c r="I44" s="1187">
        <f>G44+H44</f>
        <v>0</v>
      </c>
      <c r="J44" s="1187"/>
      <c r="K44" s="1187">
        <f>I44+J44</f>
        <v>0</v>
      </c>
      <c r="L44" s="1187"/>
      <c r="M44" s="1534"/>
      <c r="N44" s="1187">
        <v>0</v>
      </c>
      <c r="O44" s="1190"/>
      <c r="P44" s="1174"/>
      <c r="Q44" s="689">
        <f t="shared" si="0"/>
        <v>0</v>
      </c>
    </row>
    <row r="45" spans="1:17" s="690" customFormat="1" ht="26.1" customHeight="1">
      <c r="A45" s="691"/>
      <c r="B45" s="692" t="s">
        <v>177</v>
      </c>
      <c r="C45" s="1187">
        <f t="shared" ref="C45:P45" si="14">SUM(C41:C44)</f>
        <v>60000</v>
      </c>
      <c r="D45" s="1187">
        <f t="shared" si="14"/>
        <v>0</v>
      </c>
      <c r="E45" s="1187">
        <f t="shared" si="14"/>
        <v>60000</v>
      </c>
      <c r="F45" s="1187">
        <f t="shared" si="14"/>
        <v>0</v>
      </c>
      <c r="G45" s="1187">
        <f t="shared" si="14"/>
        <v>60000</v>
      </c>
      <c r="H45" s="1187">
        <f>SUM(H41:H44)</f>
        <v>0</v>
      </c>
      <c r="I45" s="1187">
        <f>SUM(I41:I44)</f>
        <v>60000</v>
      </c>
      <c r="J45" s="1187">
        <f>SUM(J41:J44)</f>
        <v>0</v>
      </c>
      <c r="K45" s="1187">
        <f>SUM(K41:K44)</f>
        <v>60000</v>
      </c>
      <c r="L45" s="1187">
        <f>SUM(L41:L44)</f>
        <v>47673</v>
      </c>
      <c r="M45" s="1534">
        <f t="shared" si="13"/>
        <v>0.79454999999999998</v>
      </c>
      <c r="N45" s="1187">
        <f t="shared" si="14"/>
        <v>60000</v>
      </c>
      <c r="O45" s="1187">
        <f t="shared" si="14"/>
        <v>0</v>
      </c>
      <c r="P45" s="1191">
        <f t="shared" si="14"/>
        <v>0</v>
      </c>
      <c r="Q45" s="689">
        <f t="shared" si="0"/>
        <v>60000</v>
      </c>
    </row>
    <row r="46" spans="1:17" s="690" customFormat="1" ht="26.1" customHeight="1">
      <c r="A46" s="693" t="s">
        <v>67</v>
      </c>
      <c r="B46" s="694" t="s">
        <v>86</v>
      </c>
      <c r="C46" s="1822"/>
      <c r="D46" s="1822"/>
      <c r="E46" s="1822"/>
      <c r="F46" s="1822"/>
      <c r="G46" s="1822"/>
      <c r="H46" s="1822"/>
      <c r="I46" s="1822"/>
      <c r="J46" s="1822"/>
      <c r="K46" s="1822"/>
      <c r="L46" s="1822"/>
      <c r="M46" s="1822"/>
      <c r="N46" s="1823"/>
      <c r="O46" s="1823"/>
      <c r="P46" s="1824"/>
      <c r="Q46" s="689"/>
    </row>
    <row r="47" spans="1:17" s="690" customFormat="1" ht="21.95" customHeight="1">
      <c r="A47" s="691"/>
      <c r="B47" s="692" t="s">
        <v>40</v>
      </c>
      <c r="C47" s="1187">
        <v>0</v>
      </c>
      <c r="D47" s="1187"/>
      <c r="E47" s="1187">
        <f>C47+D47</f>
        <v>0</v>
      </c>
      <c r="F47" s="1187"/>
      <c r="G47" s="1187">
        <f>E47+F47</f>
        <v>0</v>
      </c>
      <c r="H47" s="1187"/>
      <c r="I47" s="1187">
        <f>G47+H47</f>
        <v>0</v>
      </c>
      <c r="J47" s="1187"/>
      <c r="K47" s="1187">
        <f>I47+J47</f>
        <v>0</v>
      </c>
      <c r="L47" s="1187"/>
      <c r="M47" s="1534"/>
      <c r="N47" s="1190"/>
      <c r="O47" s="1190"/>
      <c r="P47" s="1174"/>
      <c r="Q47" s="689">
        <f t="shared" si="0"/>
        <v>0</v>
      </c>
    </row>
    <row r="48" spans="1:17" s="690" customFormat="1" ht="39" customHeight="1">
      <c r="A48" s="691"/>
      <c r="B48" s="692" t="s">
        <v>303</v>
      </c>
      <c r="C48" s="1187">
        <v>0</v>
      </c>
      <c r="D48" s="1187"/>
      <c r="E48" s="1187">
        <f>C48+D48</f>
        <v>0</v>
      </c>
      <c r="F48" s="1187"/>
      <c r="G48" s="1187">
        <f>E48+F48</f>
        <v>0</v>
      </c>
      <c r="H48" s="1187"/>
      <c r="I48" s="1187">
        <f>G48+H48</f>
        <v>0</v>
      </c>
      <c r="J48" s="1187"/>
      <c r="K48" s="1187">
        <f>I48+J48</f>
        <v>0</v>
      </c>
      <c r="L48" s="1187"/>
      <c r="M48" s="1534"/>
      <c r="N48" s="1190"/>
      <c r="O48" s="1190"/>
      <c r="P48" s="1174"/>
      <c r="Q48" s="689">
        <f t="shared" si="0"/>
        <v>0</v>
      </c>
    </row>
    <row r="49" spans="1:17" s="690" customFormat="1" ht="21.95" customHeight="1">
      <c r="A49" s="691"/>
      <c r="B49" s="692" t="s">
        <v>132</v>
      </c>
      <c r="C49" s="1187">
        <v>13000</v>
      </c>
      <c r="D49" s="1187">
        <v>2206</v>
      </c>
      <c r="E49" s="1187">
        <f>C49+D49</f>
        <v>15206</v>
      </c>
      <c r="F49" s="1187"/>
      <c r="G49" s="1187">
        <f>E49+F49</f>
        <v>15206</v>
      </c>
      <c r="H49" s="1187"/>
      <c r="I49" s="1187">
        <f>G49+H49</f>
        <v>15206</v>
      </c>
      <c r="J49" s="1187"/>
      <c r="K49" s="1187">
        <f>I49+J49</f>
        <v>15206</v>
      </c>
      <c r="L49" s="1696">
        <v>10595</v>
      </c>
      <c r="M49" s="1534">
        <f t="shared" ref="M49:M51" si="15">L49/K49</f>
        <v>0.69676443509141128</v>
      </c>
      <c r="N49" s="1187">
        <f>13000+D49</f>
        <v>15206</v>
      </c>
      <c r="O49" s="1190"/>
      <c r="P49" s="1174"/>
      <c r="Q49" s="689">
        <f t="shared" si="0"/>
        <v>15206</v>
      </c>
    </row>
    <row r="50" spans="1:17" s="690" customFormat="1" ht="21.95" customHeight="1">
      <c r="A50" s="691"/>
      <c r="B50" s="692" t="s">
        <v>50</v>
      </c>
      <c r="C50" s="1540">
        <v>0</v>
      </c>
      <c r="D50" s="1540"/>
      <c r="E50" s="1187">
        <f>C50+D50</f>
        <v>0</v>
      </c>
      <c r="F50" s="1187"/>
      <c r="G50" s="1187">
        <f>E50+F50</f>
        <v>0</v>
      </c>
      <c r="H50" s="1187"/>
      <c r="I50" s="1187">
        <f>G50+H50</f>
        <v>0</v>
      </c>
      <c r="J50" s="1187"/>
      <c r="K50" s="1187">
        <f>I50+J50</f>
        <v>0</v>
      </c>
      <c r="L50" s="1187"/>
      <c r="M50" s="1534"/>
      <c r="N50" s="1540">
        <v>0</v>
      </c>
      <c r="O50" s="1190"/>
      <c r="P50" s="1174"/>
      <c r="Q50" s="689">
        <f t="shared" si="0"/>
        <v>0</v>
      </c>
    </row>
    <row r="51" spans="1:17" s="690" customFormat="1" ht="26.1" customHeight="1" thickBot="1">
      <c r="A51" s="709"/>
      <c r="B51" s="710" t="s">
        <v>177</v>
      </c>
      <c r="C51" s="1199">
        <f t="shared" ref="C51:P51" si="16">SUM(C47:C50)</f>
        <v>13000</v>
      </c>
      <c r="D51" s="1199">
        <f t="shared" si="16"/>
        <v>2206</v>
      </c>
      <c r="E51" s="1199">
        <f t="shared" si="16"/>
        <v>15206</v>
      </c>
      <c r="F51" s="1199">
        <f t="shared" si="16"/>
        <v>0</v>
      </c>
      <c r="G51" s="1199">
        <f t="shared" si="16"/>
        <v>15206</v>
      </c>
      <c r="H51" s="1199">
        <f>SUM(H47:H50)</f>
        <v>0</v>
      </c>
      <c r="I51" s="1199">
        <f>SUM(I47:I50)</f>
        <v>15206</v>
      </c>
      <c r="J51" s="1199">
        <f>SUM(J47:J50)</f>
        <v>0</v>
      </c>
      <c r="K51" s="1187">
        <f>I51+J51</f>
        <v>15206</v>
      </c>
      <c r="L51" s="1192">
        <f>SUM(L47:L50)</f>
        <v>10595</v>
      </c>
      <c r="M51" s="1534">
        <f t="shared" si="15"/>
        <v>0.69676443509141128</v>
      </c>
      <c r="N51" s="1199">
        <f t="shared" si="16"/>
        <v>15206</v>
      </c>
      <c r="O51" s="1199">
        <f t="shared" si="16"/>
        <v>0</v>
      </c>
      <c r="P51" s="1189">
        <f t="shared" si="16"/>
        <v>0</v>
      </c>
      <c r="Q51" s="689">
        <f t="shared" si="0"/>
        <v>15206</v>
      </c>
    </row>
    <row r="52" spans="1:17" s="690" customFormat="1" ht="23.1" customHeight="1">
      <c r="A52" s="739" t="s">
        <v>68</v>
      </c>
      <c r="B52" s="740" t="s">
        <v>191</v>
      </c>
      <c r="C52" s="1826"/>
      <c r="D52" s="1826"/>
      <c r="E52" s="1826"/>
      <c r="F52" s="1826"/>
      <c r="G52" s="1826"/>
      <c r="H52" s="1826"/>
      <c r="I52" s="1826"/>
      <c r="J52" s="1826"/>
      <c r="K52" s="1826"/>
      <c r="L52" s="1826"/>
      <c r="M52" s="1826"/>
      <c r="N52" s="1827"/>
      <c r="O52" s="1827"/>
      <c r="P52" s="1828"/>
      <c r="Q52" s="689"/>
    </row>
    <row r="53" spans="1:17" s="690" customFormat="1" ht="21" customHeight="1">
      <c r="A53" s="691"/>
      <c r="B53" s="692" t="s">
        <v>40</v>
      </c>
      <c r="C53" s="1187">
        <v>0</v>
      </c>
      <c r="D53" s="1187"/>
      <c r="E53" s="1187">
        <f>C53+D53</f>
        <v>0</v>
      </c>
      <c r="F53" s="1187"/>
      <c r="G53" s="1187">
        <f>E53+F53</f>
        <v>0</v>
      </c>
      <c r="H53" s="1187"/>
      <c r="I53" s="1187">
        <f>G53+H53</f>
        <v>0</v>
      </c>
      <c r="J53" s="1187"/>
      <c r="K53" s="1187">
        <f>I53+J53</f>
        <v>0</v>
      </c>
      <c r="L53" s="1187"/>
      <c r="M53" s="1534"/>
      <c r="N53" s="1190"/>
      <c r="O53" s="1190"/>
      <c r="P53" s="1174"/>
      <c r="Q53" s="689">
        <f t="shared" si="0"/>
        <v>0</v>
      </c>
    </row>
    <row r="54" spans="1:17" s="690" customFormat="1" ht="39" customHeight="1">
      <c r="A54" s="691"/>
      <c r="B54" s="692" t="s">
        <v>303</v>
      </c>
      <c r="C54" s="1187">
        <v>0</v>
      </c>
      <c r="D54" s="1187"/>
      <c r="E54" s="1187">
        <f>C54+D54</f>
        <v>0</v>
      </c>
      <c r="F54" s="1187"/>
      <c r="G54" s="1187">
        <f>E54+F54</f>
        <v>0</v>
      </c>
      <c r="H54" s="1187"/>
      <c r="I54" s="1187">
        <f>G54+H54</f>
        <v>0</v>
      </c>
      <c r="J54" s="1187"/>
      <c r="K54" s="1187">
        <f>I54+J54</f>
        <v>0</v>
      </c>
      <c r="L54" s="1187"/>
      <c r="M54" s="1534"/>
      <c r="N54" s="1190"/>
      <c r="O54" s="1190"/>
      <c r="P54" s="1174"/>
      <c r="Q54" s="689">
        <f t="shared" si="0"/>
        <v>0</v>
      </c>
    </row>
    <row r="55" spans="1:17" s="690" customFormat="1" ht="21" customHeight="1">
      <c r="A55" s="691"/>
      <c r="B55" s="692" t="s">
        <v>132</v>
      </c>
      <c r="C55" s="1178">
        <v>500</v>
      </c>
      <c r="D55" s="1178">
        <v>1414</v>
      </c>
      <c r="E55" s="1187">
        <f>C55+D55</f>
        <v>1914</v>
      </c>
      <c r="F55" s="1187"/>
      <c r="G55" s="1187">
        <f>E55+F55</f>
        <v>1914</v>
      </c>
      <c r="H55" s="1187"/>
      <c r="I55" s="1187">
        <f>G55+H55</f>
        <v>1914</v>
      </c>
      <c r="J55" s="1187"/>
      <c r="K55" s="1187">
        <f>I55+J55</f>
        <v>1914</v>
      </c>
      <c r="L55" s="1617">
        <v>0</v>
      </c>
      <c r="M55" s="1534">
        <f t="shared" ref="M55:M57" si="17">L55/K55</f>
        <v>0</v>
      </c>
      <c r="N55" s="1178">
        <f>500+D55</f>
        <v>1914</v>
      </c>
      <c r="O55" s="1190"/>
      <c r="P55" s="1174"/>
      <c r="Q55" s="689">
        <f t="shared" si="0"/>
        <v>1914</v>
      </c>
    </row>
    <row r="56" spans="1:17" s="690" customFormat="1" ht="21" customHeight="1">
      <c r="A56" s="691"/>
      <c r="B56" s="692" t="s">
        <v>50</v>
      </c>
      <c r="C56" s="1187">
        <v>0</v>
      </c>
      <c r="D56" s="1187"/>
      <c r="E56" s="1187">
        <f>C56+D56</f>
        <v>0</v>
      </c>
      <c r="F56" s="1187"/>
      <c r="G56" s="1187">
        <f>E56+F56</f>
        <v>0</v>
      </c>
      <c r="H56" s="1187"/>
      <c r="I56" s="1187">
        <f>G56+H56</f>
        <v>0</v>
      </c>
      <c r="J56" s="1187"/>
      <c r="K56" s="1187">
        <f>I56+J56</f>
        <v>0</v>
      </c>
      <c r="L56" s="1187"/>
      <c r="M56" s="1534"/>
      <c r="N56" s="1187">
        <v>0</v>
      </c>
      <c r="O56" s="1190"/>
      <c r="P56" s="1174"/>
      <c r="Q56" s="689">
        <f t="shared" si="0"/>
        <v>0</v>
      </c>
    </row>
    <row r="57" spans="1:17" s="690" customFormat="1" ht="21" customHeight="1">
      <c r="A57" s="691"/>
      <c r="B57" s="692" t="s">
        <v>177</v>
      </c>
      <c r="C57" s="1187">
        <f t="shared" ref="C57:P57" si="18">SUM(C53:C56)</f>
        <v>500</v>
      </c>
      <c r="D57" s="1187">
        <f t="shared" si="18"/>
        <v>1414</v>
      </c>
      <c r="E57" s="1187">
        <f t="shared" si="18"/>
        <v>1914</v>
      </c>
      <c r="F57" s="1187">
        <f t="shared" si="18"/>
        <v>0</v>
      </c>
      <c r="G57" s="1187">
        <f t="shared" si="18"/>
        <v>1914</v>
      </c>
      <c r="H57" s="1187">
        <f>SUM(H53:H56)</f>
        <v>0</v>
      </c>
      <c r="I57" s="1187">
        <f>SUM(I53:I56)</f>
        <v>1914</v>
      </c>
      <c r="J57" s="1187">
        <f>SUM(J53:J56)</f>
        <v>0</v>
      </c>
      <c r="K57" s="1187">
        <f>SUM(K53:K56)</f>
        <v>1914</v>
      </c>
      <c r="L57" s="1618">
        <f>SUM(L53:L56)</f>
        <v>0</v>
      </c>
      <c r="M57" s="1534">
        <f t="shared" si="17"/>
        <v>0</v>
      </c>
      <c r="N57" s="1187">
        <f t="shared" si="18"/>
        <v>1914</v>
      </c>
      <c r="O57" s="1187">
        <f t="shared" si="18"/>
        <v>0</v>
      </c>
      <c r="P57" s="1191">
        <f t="shared" si="18"/>
        <v>0</v>
      </c>
      <c r="Q57" s="689">
        <f t="shared" si="0"/>
        <v>1914</v>
      </c>
    </row>
    <row r="58" spans="1:17" s="690" customFormat="1" ht="25.15" customHeight="1">
      <c r="A58" s="693" t="s">
        <v>75</v>
      </c>
      <c r="B58" s="694" t="s">
        <v>87</v>
      </c>
      <c r="C58" s="1822"/>
      <c r="D58" s="1822"/>
      <c r="E58" s="1822"/>
      <c r="F58" s="1822"/>
      <c r="G58" s="1822"/>
      <c r="H58" s="1822"/>
      <c r="I58" s="1822"/>
      <c r="J58" s="1822"/>
      <c r="K58" s="1822"/>
      <c r="L58" s="1822"/>
      <c r="M58" s="1822"/>
      <c r="N58" s="1823"/>
      <c r="O58" s="1823"/>
      <c r="P58" s="1824"/>
      <c r="Q58" s="689"/>
    </row>
    <row r="59" spans="1:17" s="690" customFormat="1" ht="21" customHeight="1">
      <c r="A59" s="691"/>
      <c r="B59" s="692" t="s">
        <v>40</v>
      </c>
      <c r="C59" s="1187">
        <v>0</v>
      </c>
      <c r="D59" s="1187"/>
      <c r="E59" s="1187">
        <f>C59+D59</f>
        <v>0</v>
      </c>
      <c r="F59" s="1187"/>
      <c r="G59" s="1187">
        <f>E59+F59</f>
        <v>0</v>
      </c>
      <c r="H59" s="1187"/>
      <c r="I59" s="1187">
        <f>G59+H59</f>
        <v>0</v>
      </c>
      <c r="J59" s="1187"/>
      <c r="K59" s="1187">
        <f>I59+J59</f>
        <v>0</v>
      </c>
      <c r="L59" s="1187"/>
      <c r="M59" s="1534"/>
      <c r="N59" s="1190"/>
      <c r="O59" s="1190"/>
      <c r="P59" s="1174"/>
      <c r="Q59" s="689">
        <f t="shared" si="0"/>
        <v>0</v>
      </c>
    </row>
    <row r="60" spans="1:17" s="690" customFormat="1" ht="39" customHeight="1">
      <c r="A60" s="691"/>
      <c r="B60" s="692" t="s">
        <v>303</v>
      </c>
      <c r="C60" s="1187">
        <v>0</v>
      </c>
      <c r="D60" s="1187"/>
      <c r="E60" s="1187">
        <f>C60+D60</f>
        <v>0</v>
      </c>
      <c r="F60" s="1187"/>
      <c r="G60" s="1187">
        <f>E60+F60</f>
        <v>0</v>
      </c>
      <c r="H60" s="1187"/>
      <c r="I60" s="1187">
        <f>G60+H60</f>
        <v>0</v>
      </c>
      <c r="J60" s="1187"/>
      <c r="K60" s="1187">
        <f>I60+J60</f>
        <v>0</v>
      </c>
      <c r="L60" s="1187"/>
      <c r="M60" s="1534"/>
      <c r="N60" s="1190"/>
      <c r="O60" s="1190"/>
      <c r="P60" s="1174"/>
      <c r="Q60" s="689">
        <f t="shared" si="0"/>
        <v>0</v>
      </c>
    </row>
    <row r="61" spans="1:17" s="690" customFormat="1" ht="21" customHeight="1">
      <c r="A61" s="691"/>
      <c r="B61" s="692" t="s">
        <v>132</v>
      </c>
      <c r="C61" s="1187">
        <v>25100</v>
      </c>
      <c r="D61" s="1187">
        <v>952</v>
      </c>
      <c r="E61" s="1187">
        <f>C61+D61</f>
        <v>26052</v>
      </c>
      <c r="F61" s="1187"/>
      <c r="G61" s="1187">
        <f>E61+F61</f>
        <v>26052</v>
      </c>
      <c r="H61" s="1187"/>
      <c r="I61" s="1187">
        <f>G61+H61</f>
        <v>26052</v>
      </c>
      <c r="J61" s="1187"/>
      <c r="K61" s="1187">
        <f>I61+J61</f>
        <v>26052</v>
      </c>
      <c r="L61" s="1696">
        <v>24452</v>
      </c>
      <c r="M61" s="1534">
        <f t="shared" ref="M61:M63" si="19">L61/K61</f>
        <v>0.93858436972209425</v>
      </c>
      <c r="N61" s="1187">
        <f>25100+D61</f>
        <v>26052</v>
      </c>
      <c r="O61" s="1190"/>
      <c r="P61" s="1174"/>
      <c r="Q61" s="689">
        <f t="shared" si="0"/>
        <v>26052</v>
      </c>
    </row>
    <row r="62" spans="1:17" s="690" customFormat="1" ht="21" customHeight="1">
      <c r="A62" s="691"/>
      <c r="B62" s="692" t="s">
        <v>50</v>
      </c>
      <c r="C62" s="1187">
        <v>0</v>
      </c>
      <c r="D62" s="1187"/>
      <c r="E62" s="1187">
        <f>C62+D62</f>
        <v>0</v>
      </c>
      <c r="F62" s="1187"/>
      <c r="G62" s="1187">
        <f>E62+F62</f>
        <v>0</v>
      </c>
      <c r="H62" s="1187"/>
      <c r="I62" s="1187">
        <f>G62+H62</f>
        <v>0</v>
      </c>
      <c r="J62" s="1187"/>
      <c r="K62" s="1187">
        <f>I62+J62</f>
        <v>0</v>
      </c>
      <c r="L62" s="1187"/>
      <c r="M62" s="1534"/>
      <c r="N62" s="1187">
        <v>0</v>
      </c>
      <c r="O62" s="1190"/>
      <c r="P62" s="1174"/>
      <c r="Q62" s="689">
        <f t="shared" si="0"/>
        <v>0</v>
      </c>
    </row>
    <row r="63" spans="1:17" s="690" customFormat="1" ht="21" customHeight="1" thickBot="1">
      <c r="A63" s="695"/>
      <c r="B63" s="696" t="s">
        <v>177</v>
      </c>
      <c r="C63" s="1192">
        <f t="shared" ref="C63:P63" si="20">SUM(C59:C62)</f>
        <v>25100</v>
      </c>
      <c r="D63" s="1192">
        <f t="shared" si="20"/>
        <v>952</v>
      </c>
      <c r="E63" s="1192">
        <f t="shared" si="20"/>
        <v>26052</v>
      </c>
      <c r="F63" s="1192">
        <f t="shared" si="20"/>
        <v>0</v>
      </c>
      <c r="G63" s="1192">
        <f t="shared" si="20"/>
        <v>26052</v>
      </c>
      <c r="H63" s="1192">
        <f>SUM(H59:H62)</f>
        <v>0</v>
      </c>
      <c r="I63" s="1192">
        <f>SUM(I59:I62)</f>
        <v>26052</v>
      </c>
      <c r="J63" s="1192">
        <f>SUM(J59:J62)</f>
        <v>0</v>
      </c>
      <c r="K63" s="1192">
        <f>SUM(K59:K62)</f>
        <v>26052</v>
      </c>
      <c r="L63" s="1192">
        <f>SUM(L59:L62)</f>
        <v>24452</v>
      </c>
      <c r="M63" s="1534">
        <f t="shared" si="19"/>
        <v>0.93858436972209425</v>
      </c>
      <c r="N63" s="1192">
        <f t="shared" si="20"/>
        <v>26052</v>
      </c>
      <c r="O63" s="1192">
        <f t="shared" si="20"/>
        <v>0</v>
      </c>
      <c r="P63" s="1193">
        <f t="shared" si="20"/>
        <v>0</v>
      </c>
      <c r="Q63" s="689">
        <f t="shared" si="0"/>
        <v>26052</v>
      </c>
    </row>
    <row r="64" spans="1:17" s="698" customFormat="1" ht="42.95" customHeight="1" thickBot="1">
      <c r="A64" s="684" t="s">
        <v>265</v>
      </c>
      <c r="B64" s="1845" t="s">
        <v>88</v>
      </c>
      <c r="C64" s="1846"/>
      <c r="D64" s="1846"/>
      <c r="E64" s="1846"/>
      <c r="F64" s="1846"/>
      <c r="G64" s="1846"/>
      <c r="H64" s="1846"/>
      <c r="I64" s="1846"/>
      <c r="J64" s="1846"/>
      <c r="K64" s="1846"/>
      <c r="L64" s="1846"/>
      <c r="M64" s="1846"/>
      <c r="N64" s="1846"/>
      <c r="O64" s="1846"/>
      <c r="P64" s="1847"/>
      <c r="Q64" s="689"/>
    </row>
    <row r="65" spans="1:17" s="690" customFormat="1" ht="39">
      <c r="A65" s="687" t="s">
        <v>60</v>
      </c>
      <c r="B65" s="699" t="s">
        <v>89</v>
      </c>
      <c r="C65" s="1829"/>
      <c r="D65" s="1829"/>
      <c r="E65" s="1829"/>
      <c r="F65" s="1829"/>
      <c r="G65" s="1829"/>
      <c r="H65" s="1829"/>
      <c r="I65" s="1829"/>
      <c r="J65" s="1829"/>
      <c r="K65" s="1829"/>
      <c r="L65" s="1829"/>
      <c r="M65" s="1829"/>
      <c r="N65" s="1830"/>
      <c r="O65" s="1830"/>
      <c r="P65" s="1831"/>
      <c r="Q65" s="689"/>
    </row>
    <row r="66" spans="1:17" s="690" customFormat="1" ht="21" customHeight="1">
      <c r="A66" s="691"/>
      <c r="B66" s="692" t="s">
        <v>40</v>
      </c>
      <c r="C66" s="1187">
        <v>0</v>
      </c>
      <c r="D66" s="1187"/>
      <c r="E66" s="1187">
        <f>C66+D66</f>
        <v>0</v>
      </c>
      <c r="F66" s="1187"/>
      <c r="G66" s="1187">
        <f>E66+F66</f>
        <v>0</v>
      </c>
      <c r="H66" s="1187"/>
      <c r="I66" s="1187">
        <f>G66+H66</f>
        <v>0</v>
      </c>
      <c r="J66" s="1187"/>
      <c r="K66" s="1187">
        <f>I66+J66</f>
        <v>0</v>
      </c>
      <c r="L66" s="1187"/>
      <c r="M66" s="1534"/>
      <c r="N66" s="1190"/>
      <c r="O66" s="1190"/>
      <c r="P66" s="1174"/>
      <c r="Q66" s="689">
        <f t="shared" si="0"/>
        <v>0</v>
      </c>
    </row>
    <row r="67" spans="1:17" s="690" customFormat="1" ht="39" customHeight="1">
      <c r="A67" s="691"/>
      <c r="B67" s="692" t="s">
        <v>303</v>
      </c>
      <c r="C67" s="1187">
        <v>0</v>
      </c>
      <c r="D67" s="1187"/>
      <c r="E67" s="1187">
        <f>C67+D67</f>
        <v>0</v>
      </c>
      <c r="F67" s="1187"/>
      <c r="G67" s="1187">
        <f>E67+F67</f>
        <v>0</v>
      </c>
      <c r="H67" s="1187"/>
      <c r="I67" s="1187">
        <f>G67+H67</f>
        <v>0</v>
      </c>
      <c r="J67" s="1187"/>
      <c r="K67" s="1187">
        <f>I67+J67</f>
        <v>0</v>
      </c>
      <c r="L67" s="1187"/>
      <c r="M67" s="1534"/>
      <c r="N67" s="1190"/>
      <c r="O67" s="1190"/>
      <c r="P67" s="1174"/>
      <c r="Q67" s="689">
        <f t="shared" si="0"/>
        <v>0</v>
      </c>
    </row>
    <row r="68" spans="1:17" s="690" customFormat="1" ht="21" customHeight="1">
      <c r="A68" s="691"/>
      <c r="B68" s="692" t="s">
        <v>132</v>
      </c>
      <c r="C68" s="1539">
        <v>51000</v>
      </c>
      <c r="D68" s="1539"/>
      <c r="E68" s="1187">
        <f>C68+D68</f>
        <v>51000</v>
      </c>
      <c r="F68" s="1187">
        <v>6840</v>
      </c>
      <c r="G68" s="1187">
        <f>E68+F68</f>
        <v>57840</v>
      </c>
      <c r="H68" s="1187">
        <v>16644</v>
      </c>
      <c r="I68" s="1187">
        <f>G68+H68</f>
        <v>74484</v>
      </c>
      <c r="J68" s="1187"/>
      <c r="K68" s="1187">
        <f>I68+J68</f>
        <v>74484</v>
      </c>
      <c r="L68" s="1696">
        <f>52849+3000</f>
        <v>55849</v>
      </c>
      <c r="M68" s="1534">
        <f t="shared" ref="M68:M70" si="21">L68/K68</f>
        <v>0.74981204016970082</v>
      </c>
      <c r="N68" s="1541">
        <v>49484</v>
      </c>
      <c r="O68" s="1541">
        <v>25000</v>
      </c>
      <c r="P68" s="1174" t="s">
        <v>98</v>
      </c>
      <c r="Q68" s="689"/>
    </row>
    <row r="69" spans="1:17" s="690" customFormat="1" ht="21" customHeight="1">
      <c r="A69" s="691"/>
      <c r="B69" s="692" t="s">
        <v>50</v>
      </c>
      <c r="C69" s="1187">
        <v>0</v>
      </c>
      <c r="D69" s="1187"/>
      <c r="E69" s="1187">
        <f>C69+D69</f>
        <v>0</v>
      </c>
      <c r="F69" s="1187"/>
      <c r="G69" s="1187">
        <f>E69+F69</f>
        <v>0</v>
      </c>
      <c r="H69" s="1187"/>
      <c r="I69" s="1187">
        <f>G69+H69</f>
        <v>0</v>
      </c>
      <c r="J69" s="1187"/>
      <c r="K69" s="1187">
        <f>I69+J69</f>
        <v>0</v>
      </c>
      <c r="L69" s="1187"/>
      <c r="M69" s="1534"/>
      <c r="N69" s="1190"/>
      <c r="O69" s="1190"/>
      <c r="P69" s="1174"/>
      <c r="Q69" s="689">
        <f t="shared" si="0"/>
        <v>0</v>
      </c>
    </row>
    <row r="70" spans="1:17" s="690" customFormat="1" ht="21" customHeight="1">
      <c r="A70" s="691"/>
      <c r="B70" s="692" t="s">
        <v>177</v>
      </c>
      <c r="C70" s="1187">
        <f t="shared" ref="C70:P70" si="22">SUM(C66:C69)</f>
        <v>51000</v>
      </c>
      <c r="D70" s="1187">
        <f t="shared" si="22"/>
        <v>0</v>
      </c>
      <c r="E70" s="1187">
        <f t="shared" si="22"/>
        <v>51000</v>
      </c>
      <c r="F70" s="1187">
        <f t="shared" si="22"/>
        <v>6840</v>
      </c>
      <c r="G70" s="1187">
        <f t="shared" si="22"/>
        <v>57840</v>
      </c>
      <c r="H70" s="1187">
        <f>SUM(H66:H69)</f>
        <v>16644</v>
      </c>
      <c r="I70" s="1187">
        <f>SUM(I66:I69)</f>
        <v>74484</v>
      </c>
      <c r="J70" s="1187">
        <f>SUM(J66:J69)</f>
        <v>0</v>
      </c>
      <c r="K70" s="1187">
        <f>SUM(K66:K69)</f>
        <v>74484</v>
      </c>
      <c r="L70" s="1187">
        <f>SUM(L66:L69)</f>
        <v>55849</v>
      </c>
      <c r="M70" s="1534">
        <f t="shared" si="21"/>
        <v>0.74981204016970082</v>
      </c>
      <c r="N70" s="1187">
        <f t="shared" si="22"/>
        <v>49484</v>
      </c>
      <c r="O70" s="1187">
        <f t="shared" si="22"/>
        <v>25000</v>
      </c>
      <c r="P70" s="1191">
        <f t="shared" si="22"/>
        <v>0</v>
      </c>
      <c r="Q70" s="689">
        <f t="shared" ref="Q70:Q133" si="23">N70+O70+P70</f>
        <v>74484</v>
      </c>
    </row>
    <row r="71" spans="1:17" s="690" customFormat="1" ht="25.15" customHeight="1">
      <c r="A71" s="693" t="s">
        <v>61</v>
      </c>
      <c r="B71" s="694" t="s">
        <v>90</v>
      </c>
      <c r="C71" s="1822"/>
      <c r="D71" s="1822"/>
      <c r="E71" s="1822"/>
      <c r="F71" s="1822"/>
      <c r="G71" s="1822"/>
      <c r="H71" s="1822"/>
      <c r="I71" s="1822"/>
      <c r="J71" s="1822"/>
      <c r="K71" s="1822"/>
      <c r="L71" s="1822"/>
      <c r="M71" s="1822"/>
      <c r="N71" s="1823"/>
      <c r="O71" s="1823"/>
      <c r="P71" s="1824"/>
      <c r="Q71" s="689"/>
    </row>
    <row r="72" spans="1:17" s="690" customFormat="1" ht="21" customHeight="1">
      <c r="A72" s="691"/>
      <c r="B72" s="692" t="s">
        <v>40</v>
      </c>
      <c r="C72" s="1187">
        <v>0</v>
      </c>
      <c r="D72" s="1187"/>
      <c r="E72" s="1187">
        <f>C72+D72</f>
        <v>0</v>
      </c>
      <c r="F72" s="1187"/>
      <c r="G72" s="1187">
        <f>E72+F72</f>
        <v>0</v>
      </c>
      <c r="H72" s="1187"/>
      <c r="I72" s="1187">
        <f>G72+H72</f>
        <v>0</v>
      </c>
      <c r="J72" s="1187"/>
      <c r="K72" s="1187">
        <f>I72+J72</f>
        <v>0</v>
      </c>
      <c r="L72" s="1187"/>
      <c r="M72" s="1534"/>
      <c r="N72" s="1187">
        <v>0</v>
      </c>
      <c r="O72" s="1190"/>
      <c r="P72" s="1174"/>
      <c r="Q72" s="689">
        <f t="shared" si="23"/>
        <v>0</v>
      </c>
    </row>
    <row r="73" spans="1:17" s="690" customFormat="1" ht="39" customHeight="1">
      <c r="A73" s="691"/>
      <c r="B73" s="692" t="s">
        <v>303</v>
      </c>
      <c r="C73" s="1187">
        <v>0</v>
      </c>
      <c r="D73" s="1187"/>
      <c r="E73" s="1187">
        <f>C73+D73</f>
        <v>0</v>
      </c>
      <c r="F73" s="1187"/>
      <c r="G73" s="1187">
        <f>E73+F73</f>
        <v>0</v>
      </c>
      <c r="H73" s="1187"/>
      <c r="I73" s="1187">
        <f>G73+H73</f>
        <v>0</v>
      </c>
      <c r="J73" s="1187"/>
      <c r="K73" s="1187">
        <f>I73+J73</f>
        <v>0</v>
      </c>
      <c r="L73" s="1187"/>
      <c r="M73" s="1534"/>
      <c r="N73" s="1187">
        <v>0</v>
      </c>
      <c r="O73" s="1190"/>
      <c r="P73" s="1174"/>
      <c r="Q73" s="689">
        <f t="shared" si="23"/>
        <v>0</v>
      </c>
    </row>
    <row r="74" spans="1:17" s="690" customFormat="1" ht="21" customHeight="1">
      <c r="A74" s="691"/>
      <c r="B74" s="692" t="s">
        <v>132</v>
      </c>
      <c r="C74" s="1187">
        <v>3000</v>
      </c>
      <c r="D74" s="1187"/>
      <c r="E74" s="1187">
        <f>C74+D74</f>
        <v>3000</v>
      </c>
      <c r="F74" s="1187"/>
      <c r="G74" s="1187">
        <f>E74+F74</f>
        <v>3000</v>
      </c>
      <c r="H74" s="1187"/>
      <c r="I74" s="1187">
        <f>G74+H74</f>
        <v>3000</v>
      </c>
      <c r="J74" s="1187"/>
      <c r="K74" s="1187">
        <f>I74+J74</f>
        <v>3000</v>
      </c>
      <c r="L74" s="1617">
        <v>0</v>
      </c>
      <c r="M74" s="1534">
        <f t="shared" ref="M74:M76" si="24">L74/K74</f>
        <v>0</v>
      </c>
      <c r="N74" s="1187">
        <v>3000</v>
      </c>
      <c r="O74" s="1190"/>
      <c r="P74" s="1174"/>
      <c r="Q74" s="689">
        <f t="shared" si="23"/>
        <v>3000</v>
      </c>
    </row>
    <row r="75" spans="1:17" s="690" customFormat="1" ht="21" customHeight="1">
      <c r="A75" s="691"/>
      <c r="B75" s="692" t="s">
        <v>50</v>
      </c>
      <c r="C75" s="1187">
        <v>0</v>
      </c>
      <c r="D75" s="1187"/>
      <c r="E75" s="1187">
        <f>C75+D75</f>
        <v>0</v>
      </c>
      <c r="F75" s="1187"/>
      <c r="G75" s="1187">
        <f>E75+F75</f>
        <v>0</v>
      </c>
      <c r="H75" s="1187"/>
      <c r="I75" s="1187">
        <f>G75+H75</f>
        <v>0</v>
      </c>
      <c r="J75" s="1187"/>
      <c r="K75" s="1187">
        <f>I75+J75</f>
        <v>0</v>
      </c>
      <c r="L75" s="1187"/>
      <c r="M75" s="1534"/>
      <c r="N75" s="1187">
        <v>0</v>
      </c>
      <c r="O75" s="1190"/>
      <c r="P75" s="1174"/>
      <c r="Q75" s="689">
        <f t="shared" si="23"/>
        <v>0</v>
      </c>
    </row>
    <row r="76" spans="1:17" s="690" customFormat="1" ht="21" customHeight="1" thickBot="1">
      <c r="A76" s="695"/>
      <c r="B76" s="696" t="s">
        <v>177</v>
      </c>
      <c r="C76" s="1192">
        <f t="shared" ref="C76:P76" si="25">SUM(C72:C75)</f>
        <v>3000</v>
      </c>
      <c r="D76" s="1192">
        <f t="shared" si="25"/>
        <v>0</v>
      </c>
      <c r="E76" s="1192">
        <f t="shared" si="25"/>
        <v>3000</v>
      </c>
      <c r="F76" s="1192">
        <f t="shared" si="25"/>
        <v>0</v>
      </c>
      <c r="G76" s="1192">
        <f t="shared" si="25"/>
        <v>3000</v>
      </c>
      <c r="H76" s="1192">
        <f>SUM(H72:H75)</f>
        <v>0</v>
      </c>
      <c r="I76" s="1192">
        <f>SUM(I72:I75)</f>
        <v>3000</v>
      </c>
      <c r="J76" s="1192">
        <f>SUM(J72:J75)</f>
        <v>0</v>
      </c>
      <c r="K76" s="1192">
        <f>SUM(K72:K75)</f>
        <v>3000</v>
      </c>
      <c r="L76" s="1619">
        <f>SUM(L72:L75)</f>
        <v>0</v>
      </c>
      <c r="M76" s="1534">
        <f t="shared" si="24"/>
        <v>0</v>
      </c>
      <c r="N76" s="1192">
        <f t="shared" si="25"/>
        <v>3000</v>
      </c>
      <c r="O76" s="1192">
        <f t="shared" si="25"/>
        <v>0</v>
      </c>
      <c r="P76" s="1193">
        <f t="shared" si="25"/>
        <v>0</v>
      </c>
      <c r="Q76" s="689">
        <f t="shared" si="23"/>
        <v>3000</v>
      </c>
    </row>
    <row r="77" spans="1:17" s="700" customFormat="1" ht="29.25" customHeight="1" thickBot="1">
      <c r="A77" s="684" t="s">
        <v>266</v>
      </c>
      <c r="B77" s="697" t="s">
        <v>91</v>
      </c>
      <c r="C77" s="1850"/>
      <c r="D77" s="1851"/>
      <c r="E77" s="1851"/>
      <c r="F77" s="1851"/>
      <c r="G77" s="1851"/>
      <c r="H77" s="1851"/>
      <c r="I77" s="1851"/>
      <c r="J77" s="1851"/>
      <c r="K77" s="1851"/>
      <c r="L77" s="1851"/>
      <c r="M77" s="1851"/>
      <c r="N77" s="1852"/>
      <c r="O77" s="1852"/>
      <c r="P77" s="1853"/>
      <c r="Q77" s="689"/>
    </row>
    <row r="78" spans="1:17" s="690" customFormat="1" ht="25.15" customHeight="1">
      <c r="A78" s="687" t="s">
        <v>60</v>
      </c>
      <c r="B78" s="699" t="s">
        <v>568</v>
      </c>
      <c r="C78" s="1829"/>
      <c r="D78" s="1829"/>
      <c r="E78" s="1829"/>
      <c r="F78" s="1829"/>
      <c r="G78" s="1829"/>
      <c r="H78" s="1829"/>
      <c r="I78" s="1829"/>
      <c r="J78" s="1829"/>
      <c r="K78" s="1829"/>
      <c r="L78" s="1829"/>
      <c r="M78" s="1829"/>
      <c r="N78" s="1830"/>
      <c r="O78" s="1830"/>
      <c r="P78" s="1831"/>
      <c r="Q78" s="689"/>
    </row>
    <row r="79" spans="1:17" s="690" customFormat="1" ht="21" customHeight="1">
      <c r="A79" s="691"/>
      <c r="B79" s="692" t="s">
        <v>40</v>
      </c>
      <c r="C79" s="1187">
        <v>0</v>
      </c>
      <c r="D79" s="1187">
        <f>313+49052+4505</f>
        <v>53870</v>
      </c>
      <c r="E79" s="1187">
        <v>78826</v>
      </c>
      <c r="F79" s="1187">
        <v>4115</v>
      </c>
      <c r="G79" s="1187">
        <f>E79+F79</f>
        <v>82941</v>
      </c>
      <c r="H79" s="1187">
        <v>581</v>
      </c>
      <c r="I79" s="1187">
        <f>G79+H79</f>
        <v>83522</v>
      </c>
      <c r="J79" s="1187"/>
      <c r="K79" s="1187">
        <f>I79+J79</f>
        <v>83522</v>
      </c>
      <c r="L79" s="1696">
        <f>9328+1698+57827+60</f>
        <v>68913</v>
      </c>
      <c r="M79" s="1534">
        <f>L79/K79</f>
        <v>0.82508800076626521</v>
      </c>
      <c r="N79" s="1187">
        <v>83522</v>
      </c>
      <c r="O79" s="1190"/>
      <c r="P79" s="1174"/>
      <c r="Q79" s="689">
        <f t="shared" si="23"/>
        <v>83522</v>
      </c>
    </row>
    <row r="80" spans="1:17" s="690" customFormat="1" ht="39" customHeight="1">
      <c r="A80" s="691"/>
      <c r="B80" s="692" t="s">
        <v>303</v>
      </c>
      <c r="C80" s="1187">
        <v>0</v>
      </c>
      <c r="D80" s="1187">
        <f>122+6622+495</f>
        <v>7239</v>
      </c>
      <c r="E80" s="1187">
        <v>12019</v>
      </c>
      <c r="F80" s="1187">
        <v>135</v>
      </c>
      <c r="G80" s="1187">
        <f>E80+F80</f>
        <v>12154</v>
      </c>
      <c r="H80" s="1187"/>
      <c r="I80" s="1187">
        <f>G80+H80</f>
        <v>12154</v>
      </c>
      <c r="J80" s="1187"/>
      <c r="K80" s="1187">
        <f>I80+J80</f>
        <v>12154</v>
      </c>
      <c r="L80" s="1696">
        <f>1314+405+8207+15</f>
        <v>9941</v>
      </c>
      <c r="M80" s="1534">
        <f t="shared" ref="M80:M83" si="26">L80/K80</f>
        <v>0.81792002632878069</v>
      </c>
      <c r="N80" s="1190">
        <v>12154</v>
      </c>
      <c r="O80" s="1190"/>
      <c r="P80" s="1174"/>
      <c r="Q80" s="689">
        <f t="shared" si="23"/>
        <v>12154</v>
      </c>
    </row>
    <row r="81" spans="1:98" s="690" customFormat="1" ht="21" customHeight="1">
      <c r="A81" s="691"/>
      <c r="B81" s="692" t="s">
        <v>132</v>
      </c>
      <c r="C81" s="1187">
        <v>0</v>
      </c>
      <c r="D81" s="1187"/>
      <c r="E81" s="1187">
        <f>C81+D81</f>
        <v>0</v>
      </c>
      <c r="F81" s="1187"/>
      <c r="G81" s="1187">
        <f>E81+F81</f>
        <v>0</v>
      </c>
      <c r="H81" s="1187">
        <v>403</v>
      </c>
      <c r="I81" s="1187">
        <f>G81+H81</f>
        <v>403</v>
      </c>
      <c r="J81" s="1187"/>
      <c r="K81" s="1187">
        <f>I81+J81</f>
        <v>403</v>
      </c>
      <c r="L81" s="1696">
        <f>189+63</f>
        <v>252</v>
      </c>
      <c r="M81" s="1534">
        <f t="shared" si="26"/>
        <v>0.62531017369727049</v>
      </c>
      <c r="N81" s="1190">
        <v>403</v>
      </c>
      <c r="O81" s="1190"/>
      <c r="P81" s="1174"/>
      <c r="Q81" s="689">
        <f t="shared" si="23"/>
        <v>403</v>
      </c>
    </row>
    <row r="82" spans="1:98" s="690" customFormat="1" ht="21" customHeight="1">
      <c r="A82" s="691"/>
      <c r="B82" s="692" t="s">
        <v>50</v>
      </c>
      <c r="C82" s="1187">
        <v>0</v>
      </c>
      <c r="D82" s="1187"/>
      <c r="E82" s="1187">
        <f>C82+D82</f>
        <v>0</v>
      </c>
      <c r="F82" s="1187"/>
      <c r="G82" s="1187">
        <f>E82+F82</f>
        <v>0</v>
      </c>
      <c r="H82" s="1187"/>
      <c r="I82" s="1187">
        <f>G82+H82</f>
        <v>0</v>
      </c>
      <c r="J82" s="1187"/>
      <c r="K82" s="1187">
        <f>I82+J82</f>
        <v>0</v>
      </c>
      <c r="L82" s="1187"/>
      <c r="M82" s="1534"/>
      <c r="N82" s="1190"/>
      <c r="O82" s="1190"/>
      <c r="P82" s="1174"/>
      <c r="Q82" s="689">
        <f t="shared" si="23"/>
        <v>0</v>
      </c>
    </row>
    <row r="83" spans="1:98" s="690" customFormat="1" ht="21" customHeight="1">
      <c r="A83" s="691"/>
      <c r="B83" s="692" t="s">
        <v>177</v>
      </c>
      <c r="C83" s="1187">
        <f t="shared" ref="C83:P83" si="27">SUM(C79:C82)</f>
        <v>0</v>
      </c>
      <c r="D83" s="1187">
        <f t="shared" si="27"/>
        <v>61109</v>
      </c>
      <c r="E83" s="1187">
        <f t="shared" si="27"/>
        <v>90845</v>
      </c>
      <c r="F83" s="1187">
        <f t="shared" si="27"/>
        <v>4250</v>
      </c>
      <c r="G83" s="1187">
        <f t="shared" si="27"/>
        <v>95095</v>
      </c>
      <c r="H83" s="1187">
        <f>SUM(H79:H82)</f>
        <v>984</v>
      </c>
      <c r="I83" s="1187">
        <f>SUM(I79:I82)</f>
        <v>96079</v>
      </c>
      <c r="J83" s="1187">
        <f>SUM(J79:J82)</f>
        <v>0</v>
      </c>
      <c r="K83" s="1187">
        <f>SUM(K79:K82)</f>
        <v>96079</v>
      </c>
      <c r="L83" s="1187">
        <f>SUM(L79:L82)</f>
        <v>79106</v>
      </c>
      <c r="M83" s="1534">
        <f t="shared" si="26"/>
        <v>0.82334329041726084</v>
      </c>
      <c r="N83" s="1187">
        <f t="shared" si="27"/>
        <v>96079</v>
      </c>
      <c r="O83" s="1187">
        <f t="shared" si="27"/>
        <v>0</v>
      </c>
      <c r="P83" s="1191">
        <f t="shared" si="27"/>
        <v>0</v>
      </c>
      <c r="Q83" s="689">
        <f t="shared" si="23"/>
        <v>96079</v>
      </c>
    </row>
    <row r="84" spans="1:98" s="690" customFormat="1" ht="23.25" customHeight="1">
      <c r="A84" s="693" t="s">
        <v>61</v>
      </c>
      <c r="B84" s="694" t="s">
        <v>94</v>
      </c>
      <c r="C84" s="1825"/>
      <c r="D84" s="1825"/>
      <c r="E84" s="1825"/>
      <c r="F84" s="1825"/>
      <c r="G84" s="1825"/>
      <c r="H84" s="1825"/>
      <c r="I84" s="1825"/>
      <c r="J84" s="1825"/>
      <c r="K84" s="1825"/>
      <c r="L84" s="1825"/>
      <c r="M84" s="1825"/>
      <c r="N84" s="1823"/>
      <c r="O84" s="1823"/>
      <c r="P84" s="1824"/>
      <c r="Q84" s="689"/>
    </row>
    <row r="85" spans="1:98" s="690" customFormat="1" ht="21" customHeight="1">
      <c r="A85" s="691"/>
      <c r="B85" s="692" t="s">
        <v>40</v>
      </c>
      <c r="C85" s="1187">
        <v>0</v>
      </c>
      <c r="D85" s="1187"/>
      <c r="E85" s="1187">
        <f>C85+D85</f>
        <v>0</v>
      </c>
      <c r="F85" s="1187"/>
      <c r="G85" s="1187">
        <f>E85+F85</f>
        <v>0</v>
      </c>
      <c r="H85" s="1187"/>
      <c r="I85" s="1187">
        <f>G85+H85</f>
        <v>0</v>
      </c>
      <c r="J85" s="1187"/>
      <c r="K85" s="1187">
        <f>I85+J85</f>
        <v>0</v>
      </c>
      <c r="L85" s="1187"/>
      <c r="M85" s="1534"/>
      <c r="N85" s="1190"/>
      <c r="O85" s="1190"/>
      <c r="P85" s="1174"/>
      <c r="Q85" s="689">
        <f t="shared" si="23"/>
        <v>0</v>
      </c>
    </row>
    <row r="86" spans="1:98" s="690" customFormat="1" ht="39" customHeight="1">
      <c r="A86" s="691"/>
      <c r="B86" s="692" t="s">
        <v>303</v>
      </c>
      <c r="C86" s="1187">
        <v>0</v>
      </c>
      <c r="D86" s="1187"/>
      <c r="E86" s="1187">
        <f>C86+D86</f>
        <v>0</v>
      </c>
      <c r="F86" s="1187"/>
      <c r="G86" s="1187">
        <f>E86+F86</f>
        <v>0</v>
      </c>
      <c r="H86" s="1187"/>
      <c r="I86" s="1187">
        <f>G86+H86</f>
        <v>0</v>
      </c>
      <c r="J86" s="1187"/>
      <c r="K86" s="1187">
        <f>I86+J86</f>
        <v>0</v>
      </c>
      <c r="L86" s="1187"/>
      <c r="M86" s="1534"/>
      <c r="N86" s="1190"/>
      <c r="O86" s="1190"/>
      <c r="P86" s="1174"/>
      <c r="Q86" s="689">
        <f t="shared" si="23"/>
        <v>0</v>
      </c>
    </row>
    <row r="87" spans="1:98" s="690" customFormat="1" ht="21" customHeight="1">
      <c r="A87" s="691"/>
      <c r="B87" s="692" t="s">
        <v>132</v>
      </c>
      <c r="C87" s="1187">
        <v>8500</v>
      </c>
      <c r="D87" s="1187"/>
      <c r="E87" s="1187">
        <v>24996</v>
      </c>
      <c r="F87" s="1187">
        <v>4824</v>
      </c>
      <c r="G87" s="1187">
        <f>E87+F87</f>
        <v>29820</v>
      </c>
      <c r="H87" s="1187">
        <v>7000</v>
      </c>
      <c r="I87" s="1187">
        <f>G87+H87</f>
        <v>36820</v>
      </c>
      <c r="J87" s="1187"/>
      <c r="K87" s="1187">
        <f>I87+J87</f>
        <v>36820</v>
      </c>
      <c r="L87" s="1696">
        <v>32406</v>
      </c>
      <c r="M87" s="1534">
        <f t="shared" ref="M87:M89" si="28">L87/K87</f>
        <v>0.88011950027159158</v>
      </c>
      <c r="N87" s="1187">
        <v>36820</v>
      </c>
      <c r="O87" s="1190"/>
      <c r="P87" s="1174"/>
      <c r="Q87" s="689">
        <f t="shared" si="23"/>
        <v>36820</v>
      </c>
    </row>
    <row r="88" spans="1:98" s="690" customFormat="1" ht="21" customHeight="1">
      <c r="A88" s="691"/>
      <c r="B88" s="692" t="s">
        <v>50</v>
      </c>
      <c r="C88" s="1187">
        <v>0</v>
      </c>
      <c r="D88" s="1187"/>
      <c r="E88" s="1187">
        <f>C88+D88</f>
        <v>0</v>
      </c>
      <c r="F88" s="1187"/>
      <c r="G88" s="1187">
        <f>E88+F88</f>
        <v>0</v>
      </c>
      <c r="H88" s="1187"/>
      <c r="I88" s="1187">
        <f>G88+H88</f>
        <v>0</v>
      </c>
      <c r="J88" s="1187"/>
      <c r="K88" s="1187">
        <f>I88+J88</f>
        <v>0</v>
      </c>
      <c r="L88" s="1187"/>
      <c r="M88" s="1534"/>
      <c r="N88" s="1187">
        <v>0</v>
      </c>
      <c r="O88" s="1190"/>
      <c r="P88" s="1174"/>
      <c r="Q88" s="689">
        <f t="shared" si="23"/>
        <v>0</v>
      </c>
    </row>
    <row r="89" spans="1:98" s="690" customFormat="1" ht="21" customHeight="1">
      <c r="A89" s="691"/>
      <c r="B89" s="692" t="s">
        <v>177</v>
      </c>
      <c r="C89" s="1187">
        <f t="shared" ref="C89:P89" si="29">SUM(C85:C88)</f>
        <v>8500</v>
      </c>
      <c r="D89" s="1187">
        <f t="shared" si="29"/>
        <v>0</v>
      </c>
      <c r="E89" s="1187">
        <f t="shared" si="29"/>
        <v>24996</v>
      </c>
      <c r="F89" s="1187">
        <f t="shared" si="29"/>
        <v>4824</v>
      </c>
      <c r="G89" s="1187">
        <f t="shared" si="29"/>
        <v>29820</v>
      </c>
      <c r="H89" s="1187">
        <f>SUM(H85:H88)</f>
        <v>7000</v>
      </c>
      <c r="I89" s="1187">
        <f>SUM(I85:I88)</f>
        <v>36820</v>
      </c>
      <c r="J89" s="1187">
        <f>SUM(J85:J88)</f>
        <v>0</v>
      </c>
      <c r="K89" s="1187">
        <f>SUM(K85:K88)</f>
        <v>36820</v>
      </c>
      <c r="L89" s="1187">
        <f>SUM(L85:L88)</f>
        <v>32406</v>
      </c>
      <c r="M89" s="1534">
        <f t="shared" si="28"/>
        <v>0.88011950027159158</v>
      </c>
      <c r="N89" s="1187">
        <f t="shared" si="29"/>
        <v>36820</v>
      </c>
      <c r="O89" s="1187">
        <f t="shared" si="29"/>
        <v>0</v>
      </c>
      <c r="P89" s="1191">
        <f t="shared" si="29"/>
        <v>0</v>
      </c>
      <c r="Q89" s="689">
        <f t="shared" si="23"/>
        <v>36820</v>
      </c>
    </row>
    <row r="90" spans="1:98" s="690" customFormat="1" ht="22.5" customHeight="1">
      <c r="A90" s="693" t="s">
        <v>62</v>
      </c>
      <c r="B90" s="694" t="s">
        <v>95</v>
      </c>
      <c r="C90" s="1822"/>
      <c r="D90" s="1822"/>
      <c r="E90" s="1822"/>
      <c r="F90" s="1822"/>
      <c r="G90" s="1822"/>
      <c r="H90" s="1822"/>
      <c r="I90" s="1822"/>
      <c r="J90" s="1822"/>
      <c r="K90" s="1822"/>
      <c r="L90" s="1822"/>
      <c r="M90" s="1822"/>
      <c r="N90" s="1823"/>
      <c r="O90" s="1823"/>
      <c r="P90" s="1824"/>
      <c r="Q90" s="689"/>
    </row>
    <row r="91" spans="1:98" s="690" customFormat="1" ht="19.899999999999999" customHeight="1">
      <c r="A91" s="691"/>
      <c r="B91" s="692" t="s">
        <v>40</v>
      </c>
      <c r="C91" s="1187">
        <v>0</v>
      </c>
      <c r="D91" s="1187"/>
      <c r="E91" s="1187">
        <f>C91+D91</f>
        <v>0</v>
      </c>
      <c r="F91" s="1187"/>
      <c r="G91" s="1187">
        <f>E91+F91</f>
        <v>0</v>
      </c>
      <c r="H91" s="1187"/>
      <c r="I91" s="1187">
        <f>G91+H91</f>
        <v>0</v>
      </c>
      <c r="J91" s="1187"/>
      <c r="K91" s="1187">
        <f>I91+J91</f>
        <v>0</v>
      </c>
      <c r="L91" s="1187"/>
      <c r="M91" s="1534"/>
      <c r="N91" s="1190"/>
      <c r="O91" s="1190"/>
      <c r="P91" s="1174"/>
      <c r="Q91" s="689">
        <f t="shared" si="23"/>
        <v>0</v>
      </c>
    </row>
    <row r="92" spans="1:98" s="690" customFormat="1" ht="38.25" customHeight="1">
      <c r="A92" s="691"/>
      <c r="B92" s="692" t="s">
        <v>303</v>
      </c>
      <c r="C92" s="1187">
        <v>0</v>
      </c>
      <c r="D92" s="1187"/>
      <c r="E92" s="1187">
        <f>C92+D92</f>
        <v>0</v>
      </c>
      <c r="F92" s="1187"/>
      <c r="G92" s="1187">
        <f>E92+F92</f>
        <v>0</v>
      </c>
      <c r="H92" s="1187"/>
      <c r="I92" s="1187">
        <f>G92+H92</f>
        <v>0</v>
      </c>
      <c r="J92" s="1187"/>
      <c r="K92" s="1187">
        <f>I92+J92</f>
        <v>0</v>
      </c>
      <c r="L92" s="1187"/>
      <c r="M92" s="1534"/>
      <c r="N92" s="1190"/>
      <c r="O92" s="1190"/>
      <c r="P92" s="1174"/>
      <c r="Q92" s="689">
        <f t="shared" si="23"/>
        <v>0</v>
      </c>
    </row>
    <row r="93" spans="1:98" s="690" customFormat="1" ht="19.899999999999999" customHeight="1">
      <c r="A93" s="691"/>
      <c r="B93" s="692" t="s">
        <v>132</v>
      </c>
      <c r="C93" s="1542">
        <v>1500</v>
      </c>
      <c r="D93" s="1542"/>
      <c r="E93" s="1187">
        <f>C93+D93</f>
        <v>1500</v>
      </c>
      <c r="F93" s="1187"/>
      <c r="G93" s="1187">
        <f>E93+F93</f>
        <v>1500</v>
      </c>
      <c r="H93" s="1187">
        <v>1000</v>
      </c>
      <c r="I93" s="1187">
        <f>G93+H93</f>
        <v>2500</v>
      </c>
      <c r="J93" s="1187"/>
      <c r="K93" s="1187">
        <f>I93+J93</f>
        <v>2500</v>
      </c>
      <c r="L93" s="1696">
        <v>5288</v>
      </c>
      <c r="M93" s="1534">
        <f t="shared" ref="M93:M95" si="30">L93/K93</f>
        <v>2.1152000000000002</v>
      </c>
      <c r="N93" s="1542">
        <v>2500</v>
      </c>
      <c r="O93" s="1190">
        <v>0</v>
      </c>
      <c r="P93" s="1174"/>
      <c r="Q93" s="689">
        <f t="shared" si="23"/>
        <v>2500</v>
      </c>
    </row>
    <row r="94" spans="1:98" s="690" customFormat="1" ht="19.899999999999999" customHeight="1">
      <c r="A94" s="691"/>
      <c r="B94" s="692" t="s">
        <v>50</v>
      </c>
      <c r="C94" s="1542">
        <f>'14'!C13</f>
        <v>46000</v>
      </c>
      <c r="D94" s="1542"/>
      <c r="E94" s="1187">
        <v>46100</v>
      </c>
      <c r="F94" s="1187">
        <f>'14'!L13</f>
        <v>8093</v>
      </c>
      <c r="G94" s="1187">
        <f>E94+F94</f>
        <v>54193</v>
      </c>
      <c r="H94" s="1187">
        <f>'14'!N13</f>
        <v>12383</v>
      </c>
      <c r="I94" s="1187">
        <f>G94+H94</f>
        <v>66576</v>
      </c>
      <c r="J94" s="1187">
        <f>'14'!P13</f>
        <v>0</v>
      </c>
      <c r="K94" s="1187">
        <f>I94+J94</f>
        <v>66576</v>
      </c>
      <c r="L94" s="1187">
        <f>58935-158</f>
        <v>58777</v>
      </c>
      <c r="M94" s="1534">
        <f t="shared" si="30"/>
        <v>0.88285568372987266</v>
      </c>
      <c r="N94" s="1542">
        <f>'14'!T13</f>
        <v>58576</v>
      </c>
      <c r="O94" s="1190">
        <f>'14'!U13</f>
        <v>8000</v>
      </c>
      <c r="P94" s="1174"/>
      <c r="Q94" s="689">
        <f t="shared" si="23"/>
        <v>66576</v>
      </c>
    </row>
    <row r="95" spans="1:98" s="690" customFormat="1" ht="21" customHeight="1" thickBot="1">
      <c r="A95" s="695"/>
      <c r="B95" s="696" t="s">
        <v>177</v>
      </c>
      <c r="C95" s="1543">
        <f t="shared" ref="C95:P95" si="31">SUM(C91:C94)</f>
        <v>47500</v>
      </c>
      <c r="D95" s="1543">
        <f t="shared" si="31"/>
        <v>0</v>
      </c>
      <c r="E95" s="1543">
        <f t="shared" si="31"/>
        <v>47600</v>
      </c>
      <c r="F95" s="1543">
        <f t="shared" si="31"/>
        <v>8093</v>
      </c>
      <c r="G95" s="1543">
        <f t="shared" si="31"/>
        <v>55693</v>
      </c>
      <c r="H95" s="1543">
        <f>SUM(H91:H94)</f>
        <v>13383</v>
      </c>
      <c r="I95" s="1543">
        <f>SUM(I91:I94)</f>
        <v>69076</v>
      </c>
      <c r="J95" s="1543">
        <f>SUM(J91:J94)</f>
        <v>0</v>
      </c>
      <c r="K95" s="1543">
        <f>SUM(K91:K94)</f>
        <v>69076</v>
      </c>
      <c r="L95" s="1543">
        <f>SUM(L91:L94)</f>
        <v>64065</v>
      </c>
      <c r="M95" s="1534">
        <f t="shared" si="30"/>
        <v>0.92745671434362154</v>
      </c>
      <c r="N95" s="1543">
        <f t="shared" si="31"/>
        <v>61076</v>
      </c>
      <c r="O95" s="1543">
        <f t="shared" si="31"/>
        <v>8000</v>
      </c>
      <c r="P95" s="1200">
        <f t="shared" si="31"/>
        <v>0</v>
      </c>
      <c r="Q95" s="689">
        <f t="shared" si="23"/>
        <v>69076</v>
      </c>
    </row>
    <row r="96" spans="1:98" s="701" customFormat="1" ht="28.5" customHeight="1" thickBot="1">
      <c r="A96" s="684" t="s">
        <v>267</v>
      </c>
      <c r="B96" s="697" t="s">
        <v>99</v>
      </c>
      <c r="C96" s="1850"/>
      <c r="D96" s="1851"/>
      <c r="E96" s="1851"/>
      <c r="F96" s="1851"/>
      <c r="G96" s="1851"/>
      <c r="H96" s="1851"/>
      <c r="I96" s="1851"/>
      <c r="J96" s="1851"/>
      <c r="K96" s="1851"/>
      <c r="L96" s="1851"/>
      <c r="M96" s="1851"/>
      <c r="N96" s="1852"/>
      <c r="O96" s="1852"/>
      <c r="P96" s="1853"/>
      <c r="Q96" s="689"/>
      <c r="R96" s="698"/>
      <c r="S96" s="698"/>
      <c r="T96" s="698"/>
      <c r="U96" s="698"/>
      <c r="V96" s="698"/>
      <c r="W96" s="698"/>
      <c r="X96" s="698"/>
      <c r="Y96" s="698"/>
      <c r="Z96" s="698"/>
      <c r="AA96" s="698"/>
      <c r="AB96" s="698"/>
      <c r="AC96" s="698"/>
      <c r="AD96" s="698"/>
      <c r="AE96" s="698"/>
      <c r="AF96" s="698"/>
      <c r="AG96" s="698"/>
      <c r="AH96" s="698"/>
      <c r="AI96" s="698"/>
      <c r="AJ96" s="698"/>
      <c r="AK96" s="698"/>
      <c r="AL96" s="698"/>
      <c r="AM96" s="698"/>
      <c r="AN96" s="698"/>
      <c r="AO96" s="698"/>
      <c r="AP96" s="698"/>
      <c r="AQ96" s="698"/>
      <c r="AR96" s="698"/>
      <c r="AS96" s="698"/>
      <c r="AT96" s="698"/>
      <c r="AU96" s="698"/>
      <c r="AV96" s="698"/>
      <c r="AW96" s="698"/>
      <c r="AX96" s="698"/>
      <c r="AY96" s="698"/>
      <c r="AZ96" s="698"/>
      <c r="BA96" s="698"/>
      <c r="BB96" s="698"/>
      <c r="BC96" s="698"/>
      <c r="BD96" s="698"/>
      <c r="BE96" s="698"/>
      <c r="BF96" s="698"/>
      <c r="BG96" s="698"/>
      <c r="BH96" s="698"/>
      <c r="BI96" s="698"/>
      <c r="BJ96" s="698"/>
      <c r="BK96" s="698"/>
      <c r="BL96" s="698"/>
      <c r="BM96" s="698"/>
      <c r="BN96" s="698"/>
      <c r="BO96" s="698"/>
      <c r="BP96" s="698"/>
      <c r="BQ96" s="698"/>
      <c r="BR96" s="698"/>
      <c r="BS96" s="698"/>
      <c r="BT96" s="698"/>
      <c r="BU96" s="698"/>
      <c r="BV96" s="698"/>
      <c r="BW96" s="698"/>
      <c r="BX96" s="698"/>
      <c r="BY96" s="698"/>
      <c r="BZ96" s="698"/>
      <c r="CA96" s="698"/>
      <c r="CB96" s="698"/>
      <c r="CC96" s="698"/>
      <c r="CD96" s="698"/>
      <c r="CE96" s="698"/>
      <c r="CF96" s="698"/>
      <c r="CG96" s="698"/>
      <c r="CH96" s="698"/>
      <c r="CI96" s="698"/>
      <c r="CJ96" s="698"/>
      <c r="CK96" s="698"/>
      <c r="CL96" s="698"/>
      <c r="CM96" s="698"/>
      <c r="CN96" s="698"/>
      <c r="CO96" s="698"/>
      <c r="CP96" s="698"/>
      <c r="CQ96" s="698"/>
      <c r="CR96" s="698"/>
      <c r="CS96" s="698"/>
      <c r="CT96" s="698"/>
    </row>
    <row r="97" spans="1:114" s="703" customFormat="1" ht="21" customHeight="1">
      <c r="A97" s="702" t="s">
        <v>60</v>
      </c>
      <c r="B97" s="699" t="s">
        <v>100</v>
      </c>
      <c r="C97" s="1860"/>
      <c r="D97" s="1860"/>
      <c r="E97" s="1860"/>
      <c r="F97" s="1860"/>
      <c r="G97" s="1860"/>
      <c r="H97" s="1860"/>
      <c r="I97" s="1860"/>
      <c r="J97" s="1860"/>
      <c r="K97" s="1860"/>
      <c r="L97" s="1860"/>
      <c r="M97" s="1860"/>
      <c r="N97" s="1830"/>
      <c r="O97" s="1830"/>
      <c r="P97" s="1831"/>
      <c r="Q97" s="689"/>
    </row>
    <row r="98" spans="1:114" s="703" customFormat="1" ht="19.899999999999999" customHeight="1">
      <c r="A98" s="704"/>
      <c r="B98" s="692" t="s">
        <v>40</v>
      </c>
      <c r="C98" s="1187">
        <v>0</v>
      </c>
      <c r="D98" s="1187"/>
      <c r="E98" s="1187">
        <f>C98+D98</f>
        <v>0</v>
      </c>
      <c r="F98" s="1187"/>
      <c r="G98" s="1187">
        <f>E98+F98</f>
        <v>0</v>
      </c>
      <c r="H98" s="1187">
        <v>996</v>
      </c>
      <c r="I98" s="1187">
        <f>G98+H98</f>
        <v>996</v>
      </c>
      <c r="J98" s="1187"/>
      <c r="K98" s="1187">
        <f>I98+J98</f>
        <v>996</v>
      </c>
      <c r="L98" s="1187">
        <v>995</v>
      </c>
      <c r="M98" s="1534">
        <f>L98/K98</f>
        <v>0.99899598393574296</v>
      </c>
      <c r="N98" s="1197"/>
      <c r="O98" s="1197">
        <v>996</v>
      </c>
      <c r="P98" s="1198"/>
      <c r="Q98" s="689">
        <f t="shared" si="23"/>
        <v>996</v>
      </c>
    </row>
    <row r="99" spans="1:114" s="703" customFormat="1" ht="37.5" customHeight="1">
      <c r="A99" s="704"/>
      <c r="B99" s="692" t="s">
        <v>303</v>
      </c>
      <c r="C99" s="1187">
        <v>0</v>
      </c>
      <c r="D99" s="1187"/>
      <c r="E99" s="1187">
        <f>C99+D99</f>
        <v>0</v>
      </c>
      <c r="F99" s="1187"/>
      <c r="G99" s="1187">
        <f>E99+F99</f>
        <v>0</v>
      </c>
      <c r="H99" s="1187">
        <v>272</v>
      </c>
      <c r="I99" s="1187">
        <f>G99+H99</f>
        <v>272</v>
      </c>
      <c r="J99" s="1187"/>
      <c r="K99" s="1187">
        <f>I99+J99</f>
        <v>272</v>
      </c>
      <c r="L99" s="1187">
        <v>272</v>
      </c>
      <c r="M99" s="1534">
        <f t="shared" ref="M99:M102" si="32">L99/K99</f>
        <v>1</v>
      </c>
      <c r="N99" s="1197"/>
      <c r="O99" s="1197">
        <v>272</v>
      </c>
      <c r="P99" s="1198"/>
      <c r="Q99" s="689">
        <f t="shared" si="23"/>
        <v>272</v>
      </c>
    </row>
    <row r="100" spans="1:114" s="703" customFormat="1" ht="19.899999999999999" customHeight="1">
      <c r="A100" s="704"/>
      <c r="B100" s="692" t="s">
        <v>132</v>
      </c>
      <c r="C100" s="1539">
        <v>1000</v>
      </c>
      <c r="D100" s="1539"/>
      <c r="E100" s="1187">
        <f>C100+D100</f>
        <v>1000</v>
      </c>
      <c r="F100" s="1187"/>
      <c r="G100" s="1187">
        <f>E100+F100</f>
        <v>1000</v>
      </c>
      <c r="H100" s="1187"/>
      <c r="I100" s="1187">
        <f>G100+H100</f>
        <v>1000</v>
      </c>
      <c r="J100" s="1187">
        <v>-300</v>
      </c>
      <c r="K100" s="1187">
        <f>I100+J100</f>
        <v>700</v>
      </c>
      <c r="L100" s="1696">
        <v>2</v>
      </c>
      <c r="M100" s="1534">
        <f t="shared" si="32"/>
        <v>2.8571428571428571E-3</v>
      </c>
      <c r="N100" s="1197"/>
      <c r="O100" s="1539">
        <v>700</v>
      </c>
      <c r="P100" s="1198"/>
      <c r="Q100" s="689">
        <f t="shared" si="23"/>
        <v>700</v>
      </c>
    </row>
    <row r="101" spans="1:114" s="703" customFormat="1" ht="19.899999999999999" customHeight="1">
      <c r="A101" s="704"/>
      <c r="B101" s="692" t="s">
        <v>50</v>
      </c>
      <c r="C101" s="1187">
        <v>0</v>
      </c>
      <c r="D101" s="1187"/>
      <c r="E101" s="1187">
        <f>C101+D101</f>
        <v>0</v>
      </c>
      <c r="F101" s="1187"/>
      <c r="G101" s="1187">
        <f>E101+F101</f>
        <v>0</v>
      </c>
      <c r="H101" s="1187"/>
      <c r="I101" s="1187">
        <f>G101+H101</f>
        <v>0</v>
      </c>
      <c r="J101" s="1187"/>
      <c r="K101" s="1187">
        <f>I101+J101</f>
        <v>0</v>
      </c>
      <c r="L101" s="1187"/>
      <c r="M101" s="1534"/>
      <c r="N101" s="1197"/>
      <c r="O101" s="1187">
        <v>0</v>
      </c>
      <c r="P101" s="1198"/>
      <c r="Q101" s="689">
        <f t="shared" si="23"/>
        <v>0</v>
      </c>
    </row>
    <row r="102" spans="1:114" s="703" customFormat="1" ht="21" customHeight="1" thickBot="1">
      <c r="A102" s="741"/>
      <c r="B102" s="710" t="s">
        <v>177</v>
      </c>
      <c r="C102" s="1199">
        <f t="shared" ref="C102:P102" si="33">SUM(C98:C101)</f>
        <v>1000</v>
      </c>
      <c r="D102" s="1199">
        <f t="shared" si="33"/>
        <v>0</v>
      </c>
      <c r="E102" s="1199">
        <f t="shared" si="33"/>
        <v>1000</v>
      </c>
      <c r="F102" s="1199">
        <f t="shared" si="33"/>
        <v>0</v>
      </c>
      <c r="G102" s="1199">
        <f t="shared" si="33"/>
        <v>1000</v>
      </c>
      <c r="H102" s="1199">
        <f>SUM(H98:H101)</f>
        <v>1268</v>
      </c>
      <c r="I102" s="1199">
        <f>SUM(I98:I101)</f>
        <v>2268</v>
      </c>
      <c r="J102" s="1199">
        <f>SUM(J98:J101)</f>
        <v>-300</v>
      </c>
      <c r="K102" s="1199">
        <f>SUM(K98:K101)</f>
        <v>1968</v>
      </c>
      <c r="L102" s="1199">
        <f>SUM(L98:L101)</f>
        <v>1269</v>
      </c>
      <c r="M102" s="1534">
        <f t="shared" si="32"/>
        <v>0.64481707317073167</v>
      </c>
      <c r="N102" s="1199">
        <f t="shared" si="33"/>
        <v>0</v>
      </c>
      <c r="O102" s="1199">
        <f t="shared" si="33"/>
        <v>1968</v>
      </c>
      <c r="P102" s="1189">
        <f t="shared" si="33"/>
        <v>0</v>
      </c>
      <c r="Q102" s="689">
        <f t="shared" si="23"/>
        <v>1968</v>
      </c>
    </row>
    <row r="103" spans="1:114" s="701" customFormat="1" ht="30" customHeight="1" thickBot="1">
      <c r="A103" s="684" t="s">
        <v>268</v>
      </c>
      <c r="B103" s="1845" t="s">
        <v>101</v>
      </c>
      <c r="C103" s="1846"/>
      <c r="D103" s="1846"/>
      <c r="E103" s="1846"/>
      <c r="F103" s="1846"/>
      <c r="G103" s="1846"/>
      <c r="H103" s="1846"/>
      <c r="I103" s="1846"/>
      <c r="J103" s="1846"/>
      <c r="K103" s="1846"/>
      <c r="L103" s="1846"/>
      <c r="M103" s="1846"/>
      <c r="N103" s="1846"/>
      <c r="O103" s="1846"/>
      <c r="P103" s="1847"/>
      <c r="Q103" s="689"/>
      <c r="R103" s="698"/>
      <c r="S103" s="698"/>
      <c r="T103" s="698"/>
      <c r="U103" s="698"/>
      <c r="V103" s="698"/>
      <c r="W103" s="698"/>
      <c r="X103" s="698"/>
      <c r="Y103" s="698"/>
      <c r="Z103" s="698"/>
      <c r="AA103" s="698"/>
      <c r="AB103" s="698"/>
      <c r="AC103" s="698"/>
      <c r="AD103" s="698"/>
      <c r="AE103" s="698"/>
      <c r="AF103" s="698"/>
      <c r="AG103" s="698"/>
      <c r="AH103" s="698"/>
      <c r="AI103" s="698"/>
      <c r="AJ103" s="698"/>
      <c r="AK103" s="698"/>
      <c r="AL103" s="698"/>
      <c r="AM103" s="698"/>
      <c r="AN103" s="698"/>
      <c r="AO103" s="698"/>
      <c r="AP103" s="698"/>
      <c r="AQ103" s="698"/>
      <c r="AR103" s="698"/>
      <c r="AS103" s="698"/>
      <c r="AT103" s="698"/>
      <c r="AU103" s="698"/>
      <c r="AV103" s="698"/>
      <c r="AW103" s="698"/>
      <c r="AX103" s="698"/>
      <c r="AY103" s="698"/>
      <c r="AZ103" s="698"/>
      <c r="BA103" s="698"/>
      <c r="BB103" s="698"/>
      <c r="BC103" s="698"/>
      <c r="BD103" s="698"/>
      <c r="BE103" s="698"/>
      <c r="BF103" s="698"/>
      <c r="BG103" s="698"/>
      <c r="BH103" s="698"/>
      <c r="BI103" s="698"/>
      <c r="BJ103" s="698"/>
      <c r="BK103" s="698"/>
      <c r="BL103" s="698"/>
      <c r="BM103" s="698"/>
      <c r="BN103" s="698"/>
      <c r="BO103" s="698"/>
      <c r="BP103" s="698"/>
      <c r="BQ103" s="698"/>
      <c r="BR103" s="698"/>
      <c r="BS103" s="698"/>
      <c r="BT103" s="698"/>
      <c r="BU103" s="698"/>
      <c r="BV103" s="698"/>
      <c r="BW103" s="698"/>
      <c r="BX103" s="698"/>
      <c r="BY103" s="698"/>
      <c r="BZ103" s="698"/>
      <c r="CA103" s="698"/>
      <c r="CB103" s="698"/>
      <c r="CC103" s="698"/>
      <c r="CD103" s="698"/>
      <c r="CE103" s="698"/>
      <c r="CF103" s="698"/>
      <c r="CG103" s="698"/>
      <c r="CH103" s="698"/>
      <c r="CI103" s="698"/>
      <c r="CJ103" s="698"/>
      <c r="CK103" s="698"/>
      <c r="CL103" s="698"/>
      <c r="CM103" s="698"/>
      <c r="CN103" s="698"/>
      <c r="CO103" s="698"/>
      <c r="CP103" s="698"/>
      <c r="CQ103" s="698"/>
      <c r="CR103" s="698"/>
      <c r="CS103" s="698"/>
      <c r="CT103" s="698"/>
      <c r="CU103" s="698"/>
      <c r="CV103" s="698"/>
      <c r="CW103" s="698"/>
      <c r="CX103" s="698"/>
      <c r="CY103" s="698"/>
      <c r="CZ103" s="698"/>
      <c r="DA103" s="698"/>
      <c r="DB103" s="698"/>
      <c r="DC103" s="698"/>
      <c r="DD103" s="698"/>
      <c r="DE103" s="698"/>
      <c r="DF103" s="698"/>
      <c r="DG103" s="698"/>
      <c r="DH103" s="698"/>
      <c r="DI103" s="698"/>
      <c r="DJ103" s="698"/>
    </row>
    <row r="104" spans="1:114" s="700" customFormat="1" ht="23.1" customHeight="1">
      <c r="A104" s="687" t="s">
        <v>60</v>
      </c>
      <c r="B104" s="699" t="s">
        <v>102</v>
      </c>
      <c r="C104" s="1829"/>
      <c r="D104" s="1829"/>
      <c r="E104" s="1829"/>
      <c r="F104" s="1829"/>
      <c r="G104" s="1829"/>
      <c r="H104" s="1829"/>
      <c r="I104" s="1829"/>
      <c r="J104" s="1829"/>
      <c r="K104" s="1829"/>
      <c r="L104" s="1829"/>
      <c r="M104" s="1829"/>
      <c r="N104" s="1830"/>
      <c r="O104" s="1830"/>
      <c r="P104" s="1831"/>
      <c r="Q104" s="689"/>
    </row>
    <row r="105" spans="1:114" s="700" customFormat="1" ht="18.95" customHeight="1">
      <c r="A105" s="705"/>
      <c r="B105" s="692" t="s">
        <v>40</v>
      </c>
      <c r="C105" s="1178">
        <v>0</v>
      </c>
      <c r="D105" s="1178"/>
      <c r="E105" s="1178">
        <f>C105+D105</f>
        <v>0</v>
      </c>
      <c r="F105" s="1178"/>
      <c r="G105" s="1178">
        <f>E105+F105</f>
        <v>0</v>
      </c>
      <c r="H105" s="1178"/>
      <c r="I105" s="1178">
        <f>G105+H105</f>
        <v>0</v>
      </c>
      <c r="J105" s="1178"/>
      <c r="K105" s="1178">
        <f>I105+J105</f>
        <v>0</v>
      </c>
      <c r="L105" s="1696">
        <v>1569</v>
      </c>
      <c r="M105" s="1534"/>
      <c r="N105" s="1194"/>
      <c r="O105" s="1194"/>
      <c r="P105" s="1195"/>
      <c r="Q105" s="689">
        <f t="shared" si="23"/>
        <v>0</v>
      </c>
    </row>
    <row r="106" spans="1:114" s="700" customFormat="1" ht="39" customHeight="1">
      <c r="A106" s="705"/>
      <c r="B106" s="692" t="s">
        <v>303</v>
      </c>
      <c r="C106" s="1178">
        <v>0</v>
      </c>
      <c r="D106" s="1178"/>
      <c r="E106" s="1178">
        <f>C106+D106</f>
        <v>0</v>
      </c>
      <c r="F106" s="1178"/>
      <c r="G106" s="1178">
        <f>E106+F106</f>
        <v>0</v>
      </c>
      <c r="H106" s="1178"/>
      <c r="I106" s="1178">
        <f>G106+H106</f>
        <v>0</v>
      </c>
      <c r="J106" s="1178"/>
      <c r="K106" s="1178">
        <f>I106+J106</f>
        <v>0</v>
      </c>
      <c r="L106" s="1178"/>
      <c r="M106" s="1534"/>
      <c r="N106" s="1194"/>
      <c r="O106" s="1194"/>
      <c r="P106" s="1195"/>
      <c r="Q106" s="689">
        <f t="shared" si="23"/>
        <v>0</v>
      </c>
    </row>
    <row r="107" spans="1:114" s="700" customFormat="1" ht="18.95" customHeight="1">
      <c r="A107" s="705"/>
      <c r="B107" s="692" t="s">
        <v>132</v>
      </c>
      <c r="C107" s="1178">
        <v>3000</v>
      </c>
      <c r="D107" s="1178">
        <v>2485</v>
      </c>
      <c r="E107" s="1178">
        <f>C107+D107</f>
        <v>5485</v>
      </c>
      <c r="F107" s="1178"/>
      <c r="G107" s="1178">
        <f>E107+F107</f>
        <v>5485</v>
      </c>
      <c r="H107" s="1178"/>
      <c r="I107" s="1178">
        <f>G107+H107</f>
        <v>5485</v>
      </c>
      <c r="J107" s="1178">
        <v>-820</v>
      </c>
      <c r="K107" s="1178">
        <f>I107+J107</f>
        <v>4665</v>
      </c>
      <c r="L107" s="1696">
        <v>685</v>
      </c>
      <c r="M107" s="1534">
        <f t="shared" ref="M107:M109" si="34">L107/K107</f>
        <v>0.14683815648445875</v>
      </c>
      <c r="N107" s="1194"/>
      <c r="O107" s="1178">
        <v>4665</v>
      </c>
      <c r="P107" s="1195"/>
      <c r="Q107" s="689">
        <f t="shared" si="23"/>
        <v>4665</v>
      </c>
    </row>
    <row r="108" spans="1:114" s="700" customFormat="1" ht="18.95" customHeight="1">
      <c r="A108" s="705"/>
      <c r="B108" s="692" t="s">
        <v>50</v>
      </c>
      <c r="C108" s="1178">
        <v>0</v>
      </c>
      <c r="D108" s="1178"/>
      <c r="E108" s="1178">
        <f>C108+D108</f>
        <v>0</v>
      </c>
      <c r="F108" s="1178"/>
      <c r="G108" s="1178">
        <f>E108+F108</f>
        <v>0</v>
      </c>
      <c r="H108" s="1178"/>
      <c r="I108" s="1178">
        <f>G108+H108</f>
        <v>0</v>
      </c>
      <c r="J108" s="1178"/>
      <c r="K108" s="1178">
        <f>I108+J108</f>
        <v>0</v>
      </c>
      <c r="L108" s="1178"/>
      <c r="M108" s="1534"/>
      <c r="N108" s="1194"/>
      <c r="O108" s="1178">
        <v>0</v>
      </c>
      <c r="P108" s="1195"/>
      <c r="Q108" s="689">
        <f t="shared" si="23"/>
        <v>0</v>
      </c>
    </row>
    <row r="109" spans="1:114" s="700" customFormat="1" ht="21" customHeight="1">
      <c r="A109" s="705"/>
      <c r="B109" s="692" t="s">
        <v>177</v>
      </c>
      <c r="C109" s="1178">
        <f t="shared" ref="C109:P109" si="35">SUM(C105:C108)</f>
        <v>3000</v>
      </c>
      <c r="D109" s="1178">
        <f t="shared" si="35"/>
        <v>2485</v>
      </c>
      <c r="E109" s="1178">
        <f t="shared" si="35"/>
        <v>5485</v>
      </c>
      <c r="F109" s="1178">
        <f t="shared" si="35"/>
        <v>0</v>
      </c>
      <c r="G109" s="1178">
        <f t="shared" si="35"/>
        <v>5485</v>
      </c>
      <c r="H109" s="1178">
        <f>SUM(H105:H108)</f>
        <v>0</v>
      </c>
      <c r="I109" s="1178">
        <f>SUM(I105:I108)</f>
        <v>5485</v>
      </c>
      <c r="J109" s="1178">
        <f>SUM(J105:J108)</f>
        <v>-820</v>
      </c>
      <c r="K109" s="1178">
        <f>SUM(K105:K108)</f>
        <v>4665</v>
      </c>
      <c r="L109" s="1178">
        <f>SUM(L105:L108)</f>
        <v>2254</v>
      </c>
      <c r="M109" s="1534">
        <f t="shared" si="34"/>
        <v>0.48317256162915329</v>
      </c>
      <c r="N109" s="1178">
        <f t="shared" si="35"/>
        <v>0</v>
      </c>
      <c r="O109" s="1178">
        <f t="shared" si="35"/>
        <v>4665</v>
      </c>
      <c r="P109" s="1196">
        <f t="shared" si="35"/>
        <v>0</v>
      </c>
      <c r="Q109" s="689">
        <f t="shared" si="23"/>
        <v>4665</v>
      </c>
    </row>
    <row r="110" spans="1:114" s="690" customFormat="1" ht="23.1" customHeight="1">
      <c r="A110" s="693" t="s">
        <v>61</v>
      </c>
      <c r="B110" s="694" t="s">
        <v>103</v>
      </c>
      <c r="C110" s="1822"/>
      <c r="D110" s="1822"/>
      <c r="E110" s="1822"/>
      <c r="F110" s="1822"/>
      <c r="G110" s="1822"/>
      <c r="H110" s="1822"/>
      <c r="I110" s="1822"/>
      <c r="J110" s="1822"/>
      <c r="K110" s="1822"/>
      <c r="L110" s="1822"/>
      <c r="M110" s="1822"/>
      <c r="N110" s="1823"/>
      <c r="O110" s="1823"/>
      <c r="P110" s="1824"/>
      <c r="Q110" s="689"/>
    </row>
    <row r="111" spans="1:114" s="690" customFormat="1" ht="18.95" customHeight="1">
      <c r="A111" s="705"/>
      <c r="B111" s="692" t="s">
        <v>40</v>
      </c>
      <c r="C111" s="1178"/>
      <c r="D111" s="1178"/>
      <c r="E111" s="1178">
        <f>C111+D111</f>
        <v>0</v>
      </c>
      <c r="F111" s="1178"/>
      <c r="G111" s="1178">
        <f>E111+F111</f>
        <v>0</v>
      </c>
      <c r="H111" s="1178">
        <v>950</v>
      </c>
      <c r="I111" s="1178">
        <f>G111+H111</f>
        <v>950</v>
      </c>
      <c r="J111" s="1178"/>
      <c r="K111" s="1178">
        <f>I111+J111</f>
        <v>950</v>
      </c>
      <c r="L111" s="1178">
        <v>957</v>
      </c>
      <c r="M111" s="1534">
        <f>L111/K111</f>
        <v>1.0073684210526315</v>
      </c>
      <c r="N111" s="1190"/>
      <c r="O111" s="1190">
        <v>950</v>
      </c>
      <c r="P111" s="1174"/>
      <c r="Q111" s="689">
        <f t="shared" si="23"/>
        <v>950</v>
      </c>
    </row>
    <row r="112" spans="1:114" s="690" customFormat="1" ht="39" customHeight="1">
      <c r="A112" s="705"/>
      <c r="B112" s="692" t="s">
        <v>303</v>
      </c>
      <c r="C112" s="1178"/>
      <c r="D112" s="1178"/>
      <c r="E112" s="1178">
        <f>C112+D112</f>
        <v>0</v>
      </c>
      <c r="F112" s="1178"/>
      <c r="G112" s="1178">
        <f>E112+F112</f>
        <v>0</v>
      </c>
      <c r="H112" s="1178">
        <v>418</v>
      </c>
      <c r="I112" s="1178">
        <f>G112+H112</f>
        <v>418</v>
      </c>
      <c r="J112" s="1178"/>
      <c r="K112" s="1178">
        <f>I112+J112</f>
        <v>418</v>
      </c>
      <c r="L112" s="1178">
        <v>418</v>
      </c>
      <c r="M112" s="1534">
        <f t="shared" ref="M112:M115" si="36">L112/K112</f>
        <v>1</v>
      </c>
      <c r="N112" s="1190"/>
      <c r="O112" s="1190">
        <v>418</v>
      </c>
      <c r="P112" s="1174"/>
      <c r="Q112" s="689">
        <f t="shared" si="23"/>
        <v>418</v>
      </c>
    </row>
    <row r="113" spans="1:17" s="690" customFormat="1" ht="18.95" customHeight="1">
      <c r="A113" s="705"/>
      <c r="B113" s="692" t="s">
        <v>132</v>
      </c>
      <c r="C113" s="1178"/>
      <c r="D113" s="1178"/>
      <c r="E113" s="1178">
        <v>1500</v>
      </c>
      <c r="F113" s="1178"/>
      <c r="G113" s="1178">
        <f>E113+F113</f>
        <v>1500</v>
      </c>
      <c r="H113" s="1178"/>
      <c r="I113" s="1178">
        <f>G113+H113</f>
        <v>1500</v>
      </c>
      <c r="J113" s="1178">
        <v>820</v>
      </c>
      <c r="K113" s="1178">
        <f>I113+J113</f>
        <v>2320</v>
      </c>
      <c r="L113" s="1696">
        <v>2310</v>
      </c>
      <c r="M113" s="1534">
        <f t="shared" si="36"/>
        <v>0.99568965517241381</v>
      </c>
      <c r="N113" s="1190"/>
      <c r="O113" s="1190">
        <v>2320</v>
      </c>
      <c r="P113" s="1174"/>
      <c r="Q113" s="689">
        <f t="shared" si="23"/>
        <v>2320</v>
      </c>
    </row>
    <row r="114" spans="1:17" s="690" customFormat="1" ht="18.95" customHeight="1">
      <c r="A114" s="705"/>
      <c r="B114" s="692" t="s">
        <v>50</v>
      </c>
      <c r="C114" s="1187">
        <v>0</v>
      </c>
      <c r="D114" s="1187"/>
      <c r="E114" s="1178">
        <f>C114+D114</f>
        <v>0</v>
      </c>
      <c r="F114" s="1178"/>
      <c r="G114" s="1178">
        <f>E114+F114</f>
        <v>0</v>
      </c>
      <c r="H114" s="1178"/>
      <c r="I114" s="1178">
        <f>G114+H114</f>
        <v>0</v>
      </c>
      <c r="J114" s="1178"/>
      <c r="K114" s="1178">
        <f>I114+J114</f>
        <v>0</v>
      </c>
      <c r="L114" s="1178"/>
      <c r="M114" s="1534"/>
      <c r="N114" s="1190"/>
      <c r="O114" s="1190"/>
      <c r="P114" s="1174"/>
      <c r="Q114" s="689">
        <f t="shared" si="23"/>
        <v>0</v>
      </c>
    </row>
    <row r="115" spans="1:17" s="690" customFormat="1" ht="21" customHeight="1" thickBot="1">
      <c r="A115" s="706"/>
      <c r="B115" s="696" t="s">
        <v>177</v>
      </c>
      <c r="C115" s="1192">
        <f t="shared" ref="C115:P115" si="37">SUM(C111:C114)</f>
        <v>0</v>
      </c>
      <c r="D115" s="1192">
        <f t="shared" si="37"/>
        <v>0</v>
      </c>
      <c r="E115" s="1192">
        <f t="shared" si="37"/>
        <v>1500</v>
      </c>
      <c r="F115" s="1192">
        <f t="shared" si="37"/>
        <v>0</v>
      </c>
      <c r="G115" s="1192">
        <f t="shared" si="37"/>
        <v>1500</v>
      </c>
      <c r="H115" s="1192">
        <f>SUM(H111:H114)</f>
        <v>1368</v>
      </c>
      <c r="I115" s="1192">
        <f>SUM(I111:I114)</f>
        <v>2868</v>
      </c>
      <c r="J115" s="1192">
        <f>SUM(J111:J114)</f>
        <v>820</v>
      </c>
      <c r="K115" s="1192">
        <f>SUM(K111:K114)</f>
        <v>3688</v>
      </c>
      <c r="L115" s="1192">
        <f>SUM(L111:L114)</f>
        <v>3685</v>
      </c>
      <c r="M115" s="1534">
        <f t="shared" si="36"/>
        <v>0.99918655097613884</v>
      </c>
      <c r="N115" s="1192">
        <f t="shared" si="37"/>
        <v>0</v>
      </c>
      <c r="O115" s="1192">
        <f t="shared" si="37"/>
        <v>3688</v>
      </c>
      <c r="P115" s="1193">
        <f t="shared" si="37"/>
        <v>0</v>
      </c>
      <c r="Q115" s="689">
        <f t="shared" si="23"/>
        <v>3688</v>
      </c>
    </row>
    <row r="116" spans="1:17" s="707" customFormat="1" ht="26.25" customHeight="1" thickBot="1">
      <c r="A116" s="684" t="s">
        <v>269</v>
      </c>
      <c r="B116" s="697" t="s">
        <v>105</v>
      </c>
      <c r="C116" s="1836"/>
      <c r="D116" s="1837"/>
      <c r="E116" s="1837"/>
      <c r="F116" s="1837"/>
      <c r="G116" s="1837"/>
      <c r="H116" s="1837"/>
      <c r="I116" s="1837"/>
      <c r="J116" s="1837"/>
      <c r="K116" s="1837"/>
      <c r="L116" s="1837"/>
      <c r="M116" s="1837"/>
      <c r="N116" s="1838"/>
      <c r="O116" s="1838"/>
      <c r="P116" s="1839"/>
      <c r="Q116" s="689"/>
    </row>
    <row r="117" spans="1:17" s="690" customFormat="1" ht="23.1" customHeight="1">
      <c r="A117" s="687" t="s">
        <v>60</v>
      </c>
      <c r="B117" s="699" t="s">
        <v>286</v>
      </c>
      <c r="C117" s="1840"/>
      <c r="D117" s="1840"/>
      <c r="E117" s="1840"/>
      <c r="F117" s="1840"/>
      <c r="G117" s="1840"/>
      <c r="H117" s="1840"/>
      <c r="I117" s="1840"/>
      <c r="J117" s="1840"/>
      <c r="K117" s="1840"/>
      <c r="L117" s="1840"/>
      <c r="M117" s="1840"/>
      <c r="N117" s="1830"/>
      <c r="O117" s="1830"/>
      <c r="P117" s="1831"/>
      <c r="Q117" s="689"/>
    </row>
    <row r="118" spans="1:17" s="690" customFormat="1" ht="18.95" customHeight="1">
      <c r="A118" s="691"/>
      <c r="B118" s="692" t="s">
        <v>40</v>
      </c>
      <c r="C118" s="1187">
        <v>0</v>
      </c>
      <c r="D118" s="1187"/>
      <c r="E118" s="1187">
        <f>C118+D118</f>
        <v>0</v>
      </c>
      <c r="F118" s="1187"/>
      <c r="G118" s="1187">
        <f>E118+F118</f>
        <v>0</v>
      </c>
      <c r="H118" s="1187"/>
      <c r="I118" s="1187">
        <f>G118+H118</f>
        <v>0</v>
      </c>
      <c r="J118" s="1187"/>
      <c r="K118" s="1187">
        <f>I118+J118</f>
        <v>0</v>
      </c>
      <c r="L118" s="1187">
        <v>26</v>
      </c>
      <c r="M118" s="1534"/>
      <c r="N118" s="1190"/>
      <c r="O118" s="1190"/>
      <c r="P118" s="1174"/>
      <c r="Q118" s="689">
        <f t="shared" si="23"/>
        <v>0</v>
      </c>
    </row>
    <row r="119" spans="1:17" s="690" customFormat="1" ht="39" customHeight="1">
      <c r="A119" s="691"/>
      <c r="B119" s="692" t="s">
        <v>303</v>
      </c>
      <c r="C119" s="1187">
        <v>0</v>
      </c>
      <c r="D119" s="1187"/>
      <c r="E119" s="1187">
        <f>C119+D119</f>
        <v>0</v>
      </c>
      <c r="F119" s="1187"/>
      <c r="G119" s="1187">
        <f>E119+F119</f>
        <v>0</v>
      </c>
      <c r="H119" s="1187"/>
      <c r="I119" s="1187">
        <f>G119+H119</f>
        <v>0</v>
      </c>
      <c r="J119" s="1187"/>
      <c r="K119" s="1187">
        <f>I119+J119</f>
        <v>0</v>
      </c>
      <c r="L119" s="1187">
        <v>5</v>
      </c>
      <c r="M119" s="1534"/>
      <c r="N119" s="1190"/>
      <c r="O119" s="1190"/>
      <c r="P119" s="1174"/>
      <c r="Q119" s="689">
        <f t="shared" si="23"/>
        <v>0</v>
      </c>
    </row>
    <row r="120" spans="1:17" s="690" customFormat="1" ht="18.95" customHeight="1">
      <c r="A120" s="691"/>
      <c r="B120" s="692" t="s">
        <v>132</v>
      </c>
      <c r="C120" s="1187">
        <v>1000</v>
      </c>
      <c r="D120" s="1187"/>
      <c r="E120" s="1187">
        <f>C120+D120</f>
        <v>1000</v>
      </c>
      <c r="F120" s="1187"/>
      <c r="G120" s="1187">
        <f>E120+F120</f>
        <v>1000</v>
      </c>
      <c r="H120" s="1187"/>
      <c r="I120" s="1187">
        <f>G120+H120</f>
        <v>1000</v>
      </c>
      <c r="J120" s="1187"/>
      <c r="K120" s="1187">
        <f>I120+J120</f>
        <v>1000</v>
      </c>
      <c r="L120" s="1696">
        <v>19</v>
      </c>
      <c r="M120" s="1534">
        <f t="shared" ref="M120:M122" si="38">L120/K120</f>
        <v>1.9E-2</v>
      </c>
      <c r="N120" s="1190"/>
      <c r="O120" s="1187">
        <v>1000</v>
      </c>
      <c r="P120" s="1174"/>
      <c r="Q120" s="689">
        <f t="shared" si="23"/>
        <v>1000</v>
      </c>
    </row>
    <row r="121" spans="1:17" s="690" customFormat="1" ht="18.95" customHeight="1">
      <c r="A121" s="691"/>
      <c r="B121" s="692" t="s">
        <v>50</v>
      </c>
      <c r="C121" s="1187">
        <v>0</v>
      </c>
      <c r="D121" s="1187"/>
      <c r="E121" s="1187">
        <f>C121+D121</f>
        <v>0</v>
      </c>
      <c r="F121" s="1187"/>
      <c r="G121" s="1187">
        <f>E121+F121</f>
        <v>0</v>
      </c>
      <c r="H121" s="1187"/>
      <c r="I121" s="1187">
        <f>G121+H121</f>
        <v>0</v>
      </c>
      <c r="J121" s="1187"/>
      <c r="K121" s="1187">
        <f>I121+J121</f>
        <v>0</v>
      </c>
      <c r="L121" s="1187"/>
      <c r="M121" s="1534"/>
      <c r="N121" s="1190"/>
      <c r="O121" s="1187">
        <v>0</v>
      </c>
      <c r="P121" s="1174"/>
      <c r="Q121" s="689">
        <f t="shared" si="23"/>
        <v>0</v>
      </c>
    </row>
    <row r="122" spans="1:17" s="690" customFormat="1" ht="21" customHeight="1">
      <c r="A122" s="691"/>
      <c r="B122" s="692" t="s">
        <v>177</v>
      </c>
      <c r="C122" s="1187">
        <f t="shared" ref="C122:P122" si="39">SUM(C118:C121)</f>
        <v>1000</v>
      </c>
      <c r="D122" s="1187">
        <f t="shared" si="39"/>
        <v>0</v>
      </c>
      <c r="E122" s="1187">
        <f t="shared" si="39"/>
        <v>1000</v>
      </c>
      <c r="F122" s="1187">
        <f t="shared" si="39"/>
        <v>0</v>
      </c>
      <c r="G122" s="1187">
        <f t="shared" si="39"/>
        <v>1000</v>
      </c>
      <c r="H122" s="1187">
        <f>SUM(H118:H121)</f>
        <v>0</v>
      </c>
      <c r="I122" s="1187">
        <f>SUM(I118:I121)</f>
        <v>1000</v>
      </c>
      <c r="J122" s="1187">
        <f>SUM(J118:J121)</f>
        <v>0</v>
      </c>
      <c r="K122" s="1187">
        <f>SUM(K118:K121)</f>
        <v>1000</v>
      </c>
      <c r="L122" s="1187">
        <f>SUM(L118:L121)</f>
        <v>50</v>
      </c>
      <c r="M122" s="1534">
        <f t="shared" si="38"/>
        <v>0.05</v>
      </c>
      <c r="N122" s="1187">
        <f t="shared" si="39"/>
        <v>0</v>
      </c>
      <c r="O122" s="1187">
        <f t="shared" si="39"/>
        <v>1000</v>
      </c>
      <c r="P122" s="1191">
        <f t="shared" si="39"/>
        <v>0</v>
      </c>
      <c r="Q122" s="689">
        <f t="shared" si="23"/>
        <v>1000</v>
      </c>
    </row>
    <row r="123" spans="1:17" s="708" customFormat="1" ht="39">
      <c r="A123" s="693" t="s">
        <v>61</v>
      </c>
      <c r="B123" s="694" t="s">
        <v>106</v>
      </c>
      <c r="C123" s="1841"/>
      <c r="D123" s="1841"/>
      <c r="E123" s="1841"/>
      <c r="F123" s="1841"/>
      <c r="G123" s="1841"/>
      <c r="H123" s="1841"/>
      <c r="I123" s="1841"/>
      <c r="J123" s="1841"/>
      <c r="K123" s="1841"/>
      <c r="L123" s="1841"/>
      <c r="M123" s="1841"/>
      <c r="N123" s="1823"/>
      <c r="O123" s="1823"/>
      <c r="P123" s="1824"/>
      <c r="Q123" s="689"/>
    </row>
    <row r="124" spans="1:17" s="690" customFormat="1" ht="18.95" customHeight="1">
      <c r="A124" s="691"/>
      <c r="B124" s="692" t="s">
        <v>40</v>
      </c>
      <c r="C124" s="1187">
        <v>0</v>
      </c>
      <c r="D124" s="1187"/>
      <c r="E124" s="1187">
        <f>C124+D124</f>
        <v>0</v>
      </c>
      <c r="F124" s="1187"/>
      <c r="G124" s="1187">
        <f>E124+F124</f>
        <v>0</v>
      </c>
      <c r="H124" s="1187"/>
      <c r="I124" s="1187">
        <f>G124+H124</f>
        <v>0</v>
      </c>
      <c r="J124" s="1187"/>
      <c r="K124" s="1187">
        <f>I124+J124</f>
        <v>0</v>
      </c>
      <c r="L124" s="1187">
        <v>2</v>
      </c>
      <c r="M124" s="1534"/>
      <c r="N124" s="1190"/>
      <c r="O124" s="1190"/>
      <c r="P124" s="1174"/>
      <c r="Q124" s="689">
        <f t="shared" si="23"/>
        <v>0</v>
      </c>
    </row>
    <row r="125" spans="1:17" s="690" customFormat="1" ht="39" customHeight="1">
      <c r="A125" s="691"/>
      <c r="B125" s="692" t="s">
        <v>303</v>
      </c>
      <c r="C125" s="1187">
        <v>0</v>
      </c>
      <c r="D125" s="1187"/>
      <c r="E125" s="1187">
        <f>C125+D125</f>
        <v>0</v>
      </c>
      <c r="F125" s="1187"/>
      <c r="G125" s="1187">
        <f>E125+F125</f>
        <v>0</v>
      </c>
      <c r="H125" s="1187"/>
      <c r="I125" s="1187">
        <f>G125+H125</f>
        <v>0</v>
      </c>
      <c r="J125" s="1187"/>
      <c r="K125" s="1187">
        <f>I125+J125</f>
        <v>0</v>
      </c>
      <c r="L125" s="1187"/>
      <c r="M125" s="1534"/>
      <c r="N125" s="1190"/>
      <c r="O125" s="1190"/>
      <c r="P125" s="1174"/>
      <c r="Q125" s="689">
        <f t="shared" si="23"/>
        <v>0</v>
      </c>
    </row>
    <row r="126" spans="1:17" s="690" customFormat="1" ht="18.95" customHeight="1">
      <c r="A126" s="691"/>
      <c r="B126" s="692" t="s">
        <v>132</v>
      </c>
      <c r="C126" s="1187">
        <v>10500</v>
      </c>
      <c r="D126" s="1187">
        <v>1000</v>
      </c>
      <c r="E126" s="1187">
        <f>C126+D126</f>
        <v>11500</v>
      </c>
      <c r="F126" s="1187"/>
      <c r="G126" s="1187">
        <f>E126+F126</f>
        <v>11500</v>
      </c>
      <c r="H126" s="1187"/>
      <c r="I126" s="1187">
        <f>G126+H126</f>
        <v>11500</v>
      </c>
      <c r="J126" s="1187">
        <v>2250</v>
      </c>
      <c r="K126" s="1187">
        <f>I126+J126</f>
        <v>13750</v>
      </c>
      <c r="L126" s="1696">
        <v>13738</v>
      </c>
      <c r="M126" s="1534">
        <f t="shared" ref="M126:M128" si="40">L126/K126</f>
        <v>0.99912727272727275</v>
      </c>
      <c r="N126" s="1187">
        <v>13750</v>
      </c>
      <c r="O126" s="1190"/>
      <c r="P126" s="1174"/>
      <c r="Q126" s="689">
        <f t="shared" si="23"/>
        <v>13750</v>
      </c>
    </row>
    <row r="127" spans="1:17" s="690" customFormat="1" ht="18.95" customHeight="1">
      <c r="A127" s="691"/>
      <c r="B127" s="692" t="s">
        <v>50</v>
      </c>
      <c r="C127" s="1187">
        <v>0</v>
      </c>
      <c r="D127" s="1187"/>
      <c r="E127" s="1187">
        <f>C127+D127</f>
        <v>0</v>
      </c>
      <c r="F127" s="1187"/>
      <c r="G127" s="1187">
        <f>E127+F127</f>
        <v>0</v>
      </c>
      <c r="H127" s="1187"/>
      <c r="I127" s="1187">
        <f>G127+H127</f>
        <v>0</v>
      </c>
      <c r="J127" s="1187"/>
      <c r="K127" s="1187">
        <f>I127+J127</f>
        <v>0</v>
      </c>
      <c r="L127" s="1187"/>
      <c r="M127" s="1534"/>
      <c r="N127" s="1187">
        <v>0</v>
      </c>
      <c r="O127" s="1190"/>
      <c r="P127" s="1174"/>
      <c r="Q127" s="689">
        <f t="shared" si="23"/>
        <v>0</v>
      </c>
    </row>
    <row r="128" spans="1:17" s="690" customFormat="1" ht="21" customHeight="1">
      <c r="A128" s="691"/>
      <c r="B128" s="692" t="s">
        <v>177</v>
      </c>
      <c r="C128" s="1187">
        <f t="shared" ref="C128:P128" si="41">SUM(C124:C127)</f>
        <v>10500</v>
      </c>
      <c r="D128" s="1187">
        <f t="shared" si="41"/>
        <v>1000</v>
      </c>
      <c r="E128" s="1187">
        <f t="shared" si="41"/>
        <v>11500</v>
      </c>
      <c r="F128" s="1187">
        <f t="shared" si="41"/>
        <v>0</v>
      </c>
      <c r="G128" s="1187">
        <f t="shared" si="41"/>
        <v>11500</v>
      </c>
      <c r="H128" s="1187">
        <f>SUM(H124:H127)</f>
        <v>0</v>
      </c>
      <c r="I128" s="1187">
        <f>SUM(I124:I127)</f>
        <v>11500</v>
      </c>
      <c r="J128" s="1187">
        <f>SUM(J124:J127)</f>
        <v>2250</v>
      </c>
      <c r="K128" s="1187">
        <f>SUM(K124:K127)</f>
        <v>13750</v>
      </c>
      <c r="L128" s="1187">
        <f>SUM(L124:L127)</f>
        <v>13740</v>
      </c>
      <c r="M128" s="1534">
        <f t="shared" si="40"/>
        <v>0.99927272727272731</v>
      </c>
      <c r="N128" s="1187">
        <f t="shared" si="41"/>
        <v>13750</v>
      </c>
      <c r="O128" s="1187">
        <f t="shared" si="41"/>
        <v>0</v>
      </c>
      <c r="P128" s="1191">
        <f t="shared" si="41"/>
        <v>0</v>
      </c>
      <c r="Q128" s="689">
        <f t="shared" si="23"/>
        <v>13750</v>
      </c>
    </row>
    <row r="129" spans="1:17" s="708" customFormat="1" ht="23.1" customHeight="1">
      <c r="A129" s="693" t="s">
        <v>62</v>
      </c>
      <c r="B129" s="694" t="s">
        <v>107</v>
      </c>
      <c r="C129" s="1859"/>
      <c r="D129" s="1859"/>
      <c r="E129" s="1859"/>
      <c r="F129" s="1859"/>
      <c r="G129" s="1859"/>
      <c r="H129" s="1859"/>
      <c r="I129" s="1859"/>
      <c r="J129" s="1859"/>
      <c r="K129" s="1859"/>
      <c r="L129" s="1859"/>
      <c r="M129" s="1859"/>
      <c r="N129" s="1823"/>
      <c r="O129" s="1823"/>
      <c r="P129" s="1824"/>
      <c r="Q129" s="689"/>
    </row>
    <row r="130" spans="1:17" s="708" customFormat="1" ht="18.95" customHeight="1">
      <c r="A130" s="691"/>
      <c r="B130" s="692" t="s">
        <v>40</v>
      </c>
      <c r="C130" s="1186">
        <v>0</v>
      </c>
      <c r="D130" s="1186"/>
      <c r="E130" s="1186">
        <f>C130+D130</f>
        <v>0</v>
      </c>
      <c r="F130" s="1186"/>
      <c r="G130" s="1186">
        <f>E130+F130</f>
        <v>0</v>
      </c>
      <c r="H130" s="1186"/>
      <c r="I130" s="1186">
        <f>G130+H130</f>
        <v>0</v>
      </c>
      <c r="J130" s="1186"/>
      <c r="K130" s="1186">
        <f>I130+J130</f>
        <v>0</v>
      </c>
      <c r="L130" s="1186"/>
      <c r="M130" s="1534"/>
      <c r="N130" s="1184"/>
      <c r="O130" s="1184"/>
      <c r="P130" s="1185"/>
      <c r="Q130" s="689">
        <f t="shared" si="23"/>
        <v>0</v>
      </c>
    </row>
    <row r="131" spans="1:17" s="708" customFormat="1" ht="39" customHeight="1">
      <c r="A131" s="691"/>
      <c r="B131" s="692" t="s">
        <v>303</v>
      </c>
      <c r="C131" s="1186">
        <v>0</v>
      </c>
      <c r="D131" s="1186"/>
      <c r="E131" s="1186">
        <f>C131+D131</f>
        <v>0</v>
      </c>
      <c r="F131" s="1186"/>
      <c r="G131" s="1186">
        <f>E131+F131</f>
        <v>0</v>
      </c>
      <c r="H131" s="1186"/>
      <c r="I131" s="1186">
        <f>G131+H131</f>
        <v>0</v>
      </c>
      <c r="J131" s="1186"/>
      <c r="K131" s="1186">
        <f>I131+J131</f>
        <v>0</v>
      </c>
      <c r="L131" s="1186"/>
      <c r="M131" s="1534"/>
      <c r="N131" s="1184"/>
      <c r="O131" s="1184"/>
      <c r="P131" s="1185"/>
      <c r="Q131" s="689">
        <f t="shared" si="23"/>
        <v>0</v>
      </c>
    </row>
    <row r="132" spans="1:17" s="708" customFormat="1" ht="18.95" customHeight="1">
      <c r="A132" s="691"/>
      <c r="B132" s="692" t="s">
        <v>132</v>
      </c>
      <c r="C132" s="1187">
        <v>21000</v>
      </c>
      <c r="D132" s="1187"/>
      <c r="E132" s="1187">
        <f>C132+D132</f>
        <v>21000</v>
      </c>
      <c r="F132" s="1187"/>
      <c r="G132" s="1187">
        <f>E132+F132</f>
        <v>21000</v>
      </c>
      <c r="H132" s="1187"/>
      <c r="I132" s="1187">
        <f>G132+H132</f>
        <v>21000</v>
      </c>
      <c r="J132" s="1187"/>
      <c r="K132" s="1186">
        <f>I132+J132</f>
        <v>21000</v>
      </c>
      <c r="L132" s="1710">
        <v>20659</v>
      </c>
      <c r="M132" s="1534">
        <f t="shared" ref="M132:M134" si="42">L132/K132</f>
        <v>0.98376190476190473</v>
      </c>
      <c r="N132" s="1187">
        <v>21000</v>
      </c>
      <c r="O132" s="1184"/>
      <c r="P132" s="1185"/>
      <c r="Q132" s="689">
        <f t="shared" si="23"/>
        <v>21000</v>
      </c>
    </row>
    <row r="133" spans="1:17" s="708" customFormat="1" ht="18.95" customHeight="1">
      <c r="A133" s="691"/>
      <c r="B133" s="692" t="s">
        <v>50</v>
      </c>
      <c r="C133" s="1187">
        <v>0</v>
      </c>
      <c r="D133" s="1187"/>
      <c r="E133" s="1186">
        <f>C133+D133</f>
        <v>0</v>
      </c>
      <c r="F133" s="1186"/>
      <c r="G133" s="1186">
        <f>E133+F133</f>
        <v>0</v>
      </c>
      <c r="H133" s="1186"/>
      <c r="I133" s="1186">
        <f>G133+H133</f>
        <v>0</v>
      </c>
      <c r="J133" s="1186"/>
      <c r="K133" s="1186">
        <f>I133+J133</f>
        <v>0</v>
      </c>
      <c r="L133" s="1186"/>
      <c r="M133" s="1534"/>
      <c r="N133" s="1187">
        <v>0</v>
      </c>
      <c r="O133" s="1184"/>
      <c r="P133" s="1185"/>
      <c r="Q133" s="689">
        <f t="shared" si="23"/>
        <v>0</v>
      </c>
    </row>
    <row r="134" spans="1:17" s="708" customFormat="1" ht="21" customHeight="1" thickBot="1">
      <c r="A134" s="709"/>
      <c r="B134" s="710" t="s">
        <v>177</v>
      </c>
      <c r="C134" s="1188">
        <f t="shared" ref="C134:P134" si="43">SUM(C130:C133)</f>
        <v>21000</v>
      </c>
      <c r="D134" s="1188">
        <f t="shared" si="43"/>
        <v>0</v>
      </c>
      <c r="E134" s="1188">
        <f t="shared" si="43"/>
        <v>21000</v>
      </c>
      <c r="F134" s="1188">
        <f t="shared" si="43"/>
        <v>0</v>
      </c>
      <c r="G134" s="1188">
        <f t="shared" si="43"/>
        <v>21000</v>
      </c>
      <c r="H134" s="1188">
        <f>SUM(H130:H133)</f>
        <v>0</v>
      </c>
      <c r="I134" s="1188">
        <f>SUM(I130:I133)</f>
        <v>21000</v>
      </c>
      <c r="J134" s="1188">
        <f>SUM(J130:J133)</f>
        <v>0</v>
      </c>
      <c r="K134" s="1188">
        <f>SUM(K130:K133)</f>
        <v>21000</v>
      </c>
      <c r="L134" s="1188">
        <f>SUM(L130:L133)</f>
        <v>20659</v>
      </c>
      <c r="M134" s="1538">
        <f t="shared" si="42"/>
        <v>0.98376190476190473</v>
      </c>
      <c r="N134" s="1188">
        <f t="shared" si="43"/>
        <v>21000</v>
      </c>
      <c r="O134" s="1188">
        <f t="shared" si="43"/>
        <v>0</v>
      </c>
      <c r="P134" s="1189">
        <f t="shared" si="43"/>
        <v>0</v>
      </c>
      <c r="Q134" s="689">
        <f t="shared" ref="Q134:Q197" si="44">N134+O134+P134</f>
        <v>21000</v>
      </c>
    </row>
    <row r="135" spans="1:17" s="708" customFormat="1" ht="30.95" customHeight="1">
      <c r="A135" s="687" t="s">
        <v>63</v>
      </c>
      <c r="B135" s="1842" t="s">
        <v>938</v>
      </c>
      <c r="C135" s="1843"/>
      <c r="D135" s="1843"/>
      <c r="E135" s="1843"/>
      <c r="F135" s="1843"/>
      <c r="G135" s="1843"/>
      <c r="H135" s="1843"/>
      <c r="I135" s="1843"/>
      <c r="J135" s="1843"/>
      <c r="K135" s="1843"/>
      <c r="L135" s="1843"/>
      <c r="M135" s="1843"/>
      <c r="N135" s="1843"/>
      <c r="O135" s="1843"/>
      <c r="P135" s="1844"/>
      <c r="Q135" s="689">
        <f t="shared" si="44"/>
        <v>0</v>
      </c>
    </row>
    <row r="136" spans="1:17" s="708" customFormat="1" ht="21" customHeight="1">
      <c r="A136" s="691"/>
      <c r="B136" s="692" t="s">
        <v>40</v>
      </c>
      <c r="C136" s="1183">
        <v>0</v>
      </c>
      <c r="D136" s="1183"/>
      <c r="E136" s="1183">
        <f>C136+D136</f>
        <v>0</v>
      </c>
      <c r="F136" s="1184"/>
      <c r="G136" s="1184"/>
      <c r="H136" s="1544"/>
      <c r="I136" s="1544">
        <f>G136+H136</f>
        <v>0</v>
      </c>
      <c r="J136" s="1544"/>
      <c r="K136" s="1544">
        <f>I136+J136</f>
        <v>0</v>
      </c>
      <c r="L136" s="1544"/>
      <c r="M136" s="1534"/>
      <c r="N136" s="1544"/>
      <c r="O136" s="1190"/>
      <c r="P136" s="1174"/>
      <c r="Q136" s="689">
        <f t="shared" si="44"/>
        <v>0</v>
      </c>
    </row>
    <row r="137" spans="1:17" s="708" customFormat="1" ht="39" customHeight="1">
      <c r="A137" s="691"/>
      <c r="B137" s="692" t="s">
        <v>303</v>
      </c>
      <c r="C137" s="1183">
        <v>0</v>
      </c>
      <c r="D137" s="1183"/>
      <c r="E137" s="1183">
        <f t="shared" ref="E137" si="45">C137+D137</f>
        <v>0</v>
      </c>
      <c r="F137" s="1184"/>
      <c r="G137" s="1184"/>
      <c r="H137" s="1544"/>
      <c r="I137" s="1544">
        <f>G137+H137</f>
        <v>0</v>
      </c>
      <c r="J137" s="1544"/>
      <c r="K137" s="1544">
        <f>I137+J137</f>
        <v>0</v>
      </c>
      <c r="L137" s="1544"/>
      <c r="M137" s="1534"/>
      <c r="N137" s="1544"/>
      <c r="O137" s="1190"/>
      <c r="P137" s="1174"/>
      <c r="Q137" s="689">
        <f t="shared" si="44"/>
        <v>0</v>
      </c>
    </row>
    <row r="138" spans="1:17" s="708" customFormat="1" ht="21" customHeight="1">
      <c r="A138" s="691"/>
      <c r="B138" s="692" t="s">
        <v>132</v>
      </c>
      <c r="C138" s="1183"/>
      <c r="D138" s="1183"/>
      <c r="E138" s="1183">
        <v>150</v>
      </c>
      <c r="F138" s="1190"/>
      <c r="G138" s="1183"/>
      <c r="H138" s="1183">
        <v>4000</v>
      </c>
      <c r="I138" s="1183">
        <f>G138+H138</f>
        <v>4000</v>
      </c>
      <c r="J138" s="1183"/>
      <c r="K138" s="1183">
        <f>I138+J138</f>
        <v>4000</v>
      </c>
      <c r="L138" s="1183"/>
      <c r="M138" s="1534">
        <f t="shared" ref="M138:M140" si="46">L138/K138</f>
        <v>0</v>
      </c>
      <c r="N138" s="1545">
        <v>4000</v>
      </c>
      <c r="O138" s="1190"/>
      <c r="P138" s="1174"/>
      <c r="Q138" s="689">
        <f t="shared" si="44"/>
        <v>4000</v>
      </c>
    </row>
    <row r="139" spans="1:17" s="708" customFormat="1" ht="21" customHeight="1">
      <c r="A139" s="691"/>
      <c r="B139" s="692" t="s">
        <v>50</v>
      </c>
      <c r="C139" s="1183">
        <v>0</v>
      </c>
      <c r="D139" s="1183"/>
      <c r="E139" s="1183">
        <f t="shared" ref="E139" si="47">C139+D139</f>
        <v>0</v>
      </c>
      <c r="F139" s="1190"/>
      <c r="G139" s="1183">
        <v>0</v>
      </c>
      <c r="H139" s="1183"/>
      <c r="I139" s="1183">
        <f>G139+H139</f>
        <v>0</v>
      </c>
      <c r="J139" s="1183"/>
      <c r="K139" s="1183">
        <f>I139+J139</f>
        <v>0</v>
      </c>
      <c r="L139" s="1183"/>
      <c r="M139" s="1534"/>
      <c r="N139" s="1544"/>
      <c r="O139" s="1190"/>
      <c r="P139" s="1174"/>
      <c r="Q139" s="689">
        <f t="shared" si="44"/>
        <v>0</v>
      </c>
    </row>
    <row r="140" spans="1:17" s="708" customFormat="1" ht="23.1" customHeight="1" thickBot="1">
      <c r="A140" s="709"/>
      <c r="B140" s="710" t="s">
        <v>177</v>
      </c>
      <c r="C140" s="1546">
        <f>SUM(C136:C139)</f>
        <v>0</v>
      </c>
      <c r="D140" s="1546">
        <f t="shared" ref="D140:G140" si="48">SUM(D136:D139)</f>
        <v>0</v>
      </c>
      <c r="E140" s="1546">
        <f t="shared" si="48"/>
        <v>150</v>
      </c>
      <c r="F140" s="1546">
        <f t="shared" si="48"/>
        <v>0</v>
      </c>
      <c r="G140" s="1546">
        <f t="shared" si="48"/>
        <v>0</v>
      </c>
      <c r="H140" s="1546">
        <f>SUM(H136:H139)</f>
        <v>4000</v>
      </c>
      <c r="I140" s="1546">
        <f>SUM(I136:I139)</f>
        <v>4000</v>
      </c>
      <c r="J140" s="1546">
        <f>SUM(J136:J139)</f>
        <v>0</v>
      </c>
      <c r="K140" s="1546">
        <f>SUM(K136:K139)</f>
        <v>4000</v>
      </c>
      <c r="L140" s="1546">
        <f>SUM(L136:L139)</f>
        <v>0</v>
      </c>
      <c r="M140" s="1534">
        <f t="shared" si="46"/>
        <v>0</v>
      </c>
      <c r="N140" s="1546">
        <f t="shared" ref="N140" si="49">SUM(N136:N139)</f>
        <v>4000</v>
      </c>
      <c r="O140" s="1188"/>
      <c r="P140" s="1547"/>
      <c r="Q140" s="689">
        <f t="shared" si="44"/>
        <v>4000</v>
      </c>
    </row>
    <row r="141" spans="1:17" s="711" customFormat="1" ht="26.25" customHeight="1" thickBot="1">
      <c r="A141" s="684" t="s">
        <v>270</v>
      </c>
      <c r="B141" s="1832" t="s">
        <v>49</v>
      </c>
      <c r="C141" s="1833"/>
      <c r="D141" s="1833"/>
      <c r="E141" s="1833"/>
      <c r="F141" s="1833"/>
      <c r="G141" s="1833"/>
      <c r="H141" s="1833"/>
      <c r="I141" s="1833"/>
      <c r="J141" s="1833"/>
      <c r="K141" s="1833"/>
      <c r="L141" s="1833"/>
      <c r="M141" s="1833"/>
      <c r="N141" s="1833"/>
      <c r="O141" s="1833"/>
      <c r="P141" s="1834"/>
      <c r="Q141" s="689"/>
    </row>
    <row r="142" spans="1:17" s="708" customFormat="1" ht="38.25" customHeight="1">
      <c r="A142" s="687" t="s">
        <v>60</v>
      </c>
      <c r="B142" s="699" t="s">
        <v>514</v>
      </c>
      <c r="C142" s="1835"/>
      <c r="D142" s="1835"/>
      <c r="E142" s="1835"/>
      <c r="F142" s="1835"/>
      <c r="G142" s="1835"/>
      <c r="H142" s="1835"/>
      <c r="I142" s="1835"/>
      <c r="J142" s="1835"/>
      <c r="K142" s="1835"/>
      <c r="L142" s="1835"/>
      <c r="M142" s="1835"/>
      <c r="N142" s="1830"/>
      <c r="O142" s="1830"/>
      <c r="P142" s="1831"/>
      <c r="Q142" s="689"/>
    </row>
    <row r="143" spans="1:17" s="708" customFormat="1" ht="18.95" customHeight="1">
      <c r="A143" s="691"/>
      <c r="B143" s="692" t="s">
        <v>40</v>
      </c>
      <c r="C143" s="1183">
        <v>0</v>
      </c>
      <c r="D143" s="1183"/>
      <c r="E143" s="1183">
        <f>C143+D143</f>
        <v>0</v>
      </c>
      <c r="F143" s="1183"/>
      <c r="G143" s="1183">
        <f>E143+F143</f>
        <v>0</v>
      </c>
      <c r="H143" s="1183"/>
      <c r="I143" s="1183">
        <f>G143+H143</f>
        <v>0</v>
      </c>
      <c r="J143" s="1183"/>
      <c r="K143" s="1183">
        <f>I143+J143</f>
        <v>0</v>
      </c>
      <c r="L143" s="1183"/>
      <c r="M143" s="1534"/>
      <c r="N143" s="1184"/>
      <c r="O143" s="1184"/>
      <c r="P143" s="1185"/>
      <c r="Q143" s="689">
        <f t="shared" si="44"/>
        <v>0</v>
      </c>
    </row>
    <row r="144" spans="1:17" s="708" customFormat="1" ht="39" customHeight="1">
      <c r="A144" s="691"/>
      <c r="B144" s="692" t="s">
        <v>303</v>
      </c>
      <c r="C144" s="1183">
        <v>0</v>
      </c>
      <c r="D144" s="1183"/>
      <c r="E144" s="1183">
        <f>C144+D144</f>
        <v>0</v>
      </c>
      <c r="F144" s="1183"/>
      <c r="G144" s="1183">
        <f>E144+F144</f>
        <v>0</v>
      </c>
      <c r="H144" s="1183"/>
      <c r="I144" s="1183">
        <f>G144+H144</f>
        <v>0</v>
      </c>
      <c r="J144" s="1183"/>
      <c r="K144" s="1183">
        <f>I144+J144</f>
        <v>0</v>
      </c>
      <c r="L144" s="1183"/>
      <c r="M144" s="1534"/>
      <c r="N144" s="1184"/>
      <c r="O144" s="1184"/>
      <c r="P144" s="1185"/>
      <c r="Q144" s="689">
        <f t="shared" si="44"/>
        <v>0</v>
      </c>
    </row>
    <row r="145" spans="1:17" s="708" customFormat="1" ht="18.95" customHeight="1">
      <c r="A145" s="691"/>
      <c r="B145" s="692" t="s">
        <v>132</v>
      </c>
      <c r="C145" s="1183">
        <v>6200</v>
      </c>
      <c r="D145" s="1183"/>
      <c r="E145" s="1183">
        <f>C145+D145</f>
        <v>6200</v>
      </c>
      <c r="F145" s="1183"/>
      <c r="G145" s="1183">
        <f>E145+F145</f>
        <v>6200</v>
      </c>
      <c r="H145" s="1183"/>
      <c r="I145" s="1183">
        <f>G145+H145</f>
        <v>6200</v>
      </c>
      <c r="J145" s="1183"/>
      <c r="K145" s="1183">
        <f>I145+J145</f>
        <v>6200</v>
      </c>
      <c r="L145" s="1709">
        <v>6102</v>
      </c>
      <c r="M145" s="1534">
        <f t="shared" ref="M145:M147" si="50">L145/K145</f>
        <v>0.98419354838709683</v>
      </c>
      <c r="N145" s="1184"/>
      <c r="O145" s="1183">
        <v>6200</v>
      </c>
      <c r="P145" s="1185"/>
      <c r="Q145" s="689">
        <f t="shared" si="44"/>
        <v>6200</v>
      </c>
    </row>
    <row r="146" spans="1:17" s="708" customFormat="1" ht="18.95" customHeight="1">
      <c r="A146" s="691"/>
      <c r="B146" s="692" t="s">
        <v>50</v>
      </c>
      <c r="C146" s="1183">
        <v>0</v>
      </c>
      <c r="D146" s="1183"/>
      <c r="E146" s="1183">
        <f>C146+D146</f>
        <v>0</v>
      </c>
      <c r="F146" s="1183"/>
      <c r="G146" s="1183">
        <f>E146+F146</f>
        <v>0</v>
      </c>
      <c r="H146" s="1183"/>
      <c r="I146" s="1183">
        <f>G146+H146</f>
        <v>0</v>
      </c>
      <c r="J146" s="1183"/>
      <c r="K146" s="1183">
        <f>I146+J146</f>
        <v>0</v>
      </c>
      <c r="L146" s="1183"/>
      <c r="M146" s="1534"/>
      <c r="N146" s="1184"/>
      <c r="O146" s="1183">
        <v>0</v>
      </c>
      <c r="P146" s="1185"/>
      <c r="Q146" s="689">
        <f t="shared" si="44"/>
        <v>0</v>
      </c>
    </row>
    <row r="147" spans="1:17" s="708" customFormat="1" ht="21" customHeight="1" thickBot="1">
      <c r="A147" s="709"/>
      <c r="B147" s="710" t="s">
        <v>177</v>
      </c>
      <c r="C147" s="1546">
        <f t="shared" ref="C147:P147" si="51">SUM(C143:C146)</f>
        <v>6200</v>
      </c>
      <c r="D147" s="1546">
        <f t="shared" si="51"/>
        <v>0</v>
      </c>
      <c r="E147" s="1546">
        <f t="shared" si="51"/>
        <v>6200</v>
      </c>
      <c r="F147" s="1546">
        <f t="shared" si="51"/>
        <v>0</v>
      </c>
      <c r="G147" s="1546">
        <f t="shared" si="51"/>
        <v>6200</v>
      </c>
      <c r="H147" s="1546">
        <f>SUM(H143:H146)</f>
        <v>0</v>
      </c>
      <c r="I147" s="1546">
        <f>SUM(I143:I146)</f>
        <v>6200</v>
      </c>
      <c r="J147" s="1546">
        <f>SUM(J143:J146)</f>
        <v>0</v>
      </c>
      <c r="K147" s="1546">
        <f>SUM(K143:K146)</f>
        <v>6200</v>
      </c>
      <c r="L147" s="1546">
        <f>SUM(L143:L146)</f>
        <v>6102</v>
      </c>
      <c r="M147" s="1537">
        <f t="shared" si="50"/>
        <v>0.98419354838709683</v>
      </c>
      <c r="N147" s="1546">
        <f t="shared" si="51"/>
        <v>0</v>
      </c>
      <c r="O147" s="1546">
        <f t="shared" si="51"/>
        <v>6200</v>
      </c>
      <c r="P147" s="1483">
        <f t="shared" si="51"/>
        <v>0</v>
      </c>
      <c r="Q147" s="689">
        <f>N147+O147+P147</f>
        <v>6200</v>
      </c>
    </row>
    <row r="148" spans="1:17" s="708" customFormat="1" ht="30.95" customHeight="1">
      <c r="A148" s="687" t="s">
        <v>61</v>
      </c>
      <c r="B148" s="1842" t="s">
        <v>892</v>
      </c>
      <c r="C148" s="1843"/>
      <c r="D148" s="1843"/>
      <c r="E148" s="1843"/>
      <c r="F148" s="1843"/>
      <c r="G148" s="1843"/>
      <c r="H148" s="1843"/>
      <c r="I148" s="1843"/>
      <c r="J148" s="1843"/>
      <c r="K148" s="1843"/>
      <c r="L148" s="1843"/>
      <c r="M148" s="1843"/>
      <c r="N148" s="1843"/>
      <c r="O148" s="1843"/>
      <c r="P148" s="1844"/>
      <c r="Q148" s="689">
        <f t="shared" ref="Q148:Q165" si="52">N148+O148+P148</f>
        <v>0</v>
      </c>
    </row>
    <row r="149" spans="1:17" s="708" customFormat="1" ht="21" customHeight="1">
      <c r="A149" s="691"/>
      <c r="B149" s="692" t="s">
        <v>40</v>
      </c>
      <c r="C149" s="1183">
        <v>0</v>
      </c>
      <c r="D149" s="1183"/>
      <c r="E149" s="1183">
        <f>C149+D149</f>
        <v>0</v>
      </c>
      <c r="F149" s="1184"/>
      <c r="G149" s="1184"/>
      <c r="H149" s="1544"/>
      <c r="I149" s="1544">
        <f>G149+H149</f>
        <v>0</v>
      </c>
      <c r="J149" s="1544"/>
      <c r="K149" s="1544">
        <f>I149+J149</f>
        <v>0</v>
      </c>
      <c r="L149" s="1544"/>
      <c r="M149" s="1534"/>
      <c r="N149" s="1544"/>
      <c r="O149" s="1190"/>
      <c r="P149" s="1174"/>
      <c r="Q149" s="689">
        <f t="shared" si="52"/>
        <v>0</v>
      </c>
    </row>
    <row r="150" spans="1:17" s="708" customFormat="1" ht="39" customHeight="1">
      <c r="A150" s="691"/>
      <c r="B150" s="692" t="s">
        <v>303</v>
      </c>
      <c r="C150" s="1183">
        <v>0</v>
      </c>
      <c r="D150" s="1183"/>
      <c r="E150" s="1183">
        <f t="shared" ref="E150:E152" si="53">C150+D150</f>
        <v>0</v>
      </c>
      <c r="F150" s="1184"/>
      <c r="G150" s="1184"/>
      <c r="H150" s="1544"/>
      <c r="I150" s="1544">
        <f>G150+H150</f>
        <v>0</v>
      </c>
      <c r="J150" s="1544"/>
      <c r="K150" s="1544">
        <f>I150+J150</f>
        <v>0</v>
      </c>
      <c r="L150" s="1544"/>
      <c r="M150" s="1534"/>
      <c r="N150" s="1544"/>
      <c r="O150" s="1190"/>
      <c r="P150" s="1174"/>
      <c r="Q150" s="689">
        <f t="shared" si="52"/>
        <v>0</v>
      </c>
    </row>
    <row r="151" spans="1:17" s="708" customFormat="1" ht="21" customHeight="1">
      <c r="A151" s="691"/>
      <c r="B151" s="692" t="s">
        <v>132</v>
      </c>
      <c r="C151" s="1183">
        <v>0</v>
      </c>
      <c r="D151" s="1183"/>
      <c r="E151" s="1183">
        <v>4620</v>
      </c>
      <c r="F151" s="1190">
        <v>10372</v>
      </c>
      <c r="G151" s="1183">
        <f>E151+F151</f>
        <v>14992</v>
      </c>
      <c r="H151" s="1183"/>
      <c r="I151" s="1183">
        <f>G151+H151</f>
        <v>14992</v>
      </c>
      <c r="J151" s="1183"/>
      <c r="K151" s="1544">
        <f>I151+J151</f>
        <v>14992</v>
      </c>
      <c r="L151" s="1707">
        <v>14992</v>
      </c>
      <c r="M151" s="1534">
        <f t="shared" ref="M151:M153" si="54">L151/K151</f>
        <v>1</v>
      </c>
      <c r="N151" s="1545">
        <v>14992</v>
      </c>
      <c r="O151" s="1190"/>
      <c r="P151" s="1174"/>
      <c r="Q151" s="689">
        <f t="shared" si="52"/>
        <v>14992</v>
      </c>
    </row>
    <row r="152" spans="1:17" s="708" customFormat="1" ht="21" customHeight="1">
      <c r="A152" s="691"/>
      <c r="B152" s="692" t="s">
        <v>50</v>
      </c>
      <c r="C152" s="1183">
        <v>0</v>
      </c>
      <c r="D152" s="1183"/>
      <c r="E152" s="1183">
        <f t="shared" si="53"/>
        <v>0</v>
      </c>
      <c r="F152" s="1190"/>
      <c r="G152" s="1183">
        <f>E152+F152</f>
        <v>0</v>
      </c>
      <c r="H152" s="1183"/>
      <c r="I152" s="1183">
        <f>G152+H152</f>
        <v>0</v>
      </c>
      <c r="J152" s="1183"/>
      <c r="K152" s="1544">
        <f>I152+J152</f>
        <v>0</v>
      </c>
      <c r="L152" s="1544"/>
      <c r="M152" s="1534"/>
      <c r="N152" s="1545"/>
      <c r="O152" s="1190"/>
      <c r="P152" s="1174"/>
      <c r="Q152" s="689">
        <f t="shared" si="52"/>
        <v>0</v>
      </c>
    </row>
    <row r="153" spans="1:17" s="708" customFormat="1" ht="23.1" customHeight="1" thickBot="1">
      <c r="A153" s="709"/>
      <c r="B153" s="710" t="s">
        <v>177</v>
      </c>
      <c r="C153" s="1546">
        <f>SUM(C149:C152)</f>
        <v>0</v>
      </c>
      <c r="D153" s="1546">
        <f t="shared" ref="D153:N153" si="55">SUM(D149:D152)</f>
        <v>0</v>
      </c>
      <c r="E153" s="1546">
        <f t="shared" si="55"/>
        <v>4620</v>
      </c>
      <c r="F153" s="1546">
        <f t="shared" si="55"/>
        <v>10372</v>
      </c>
      <c r="G153" s="1546">
        <f t="shared" si="55"/>
        <v>14992</v>
      </c>
      <c r="H153" s="1546">
        <f>SUM(H149:H152)</f>
        <v>0</v>
      </c>
      <c r="I153" s="1546">
        <f>SUM(I149:I152)</f>
        <v>14992</v>
      </c>
      <c r="J153" s="1546">
        <f>SUM(J149:J152)</f>
        <v>0</v>
      </c>
      <c r="K153" s="1546">
        <f>SUM(K149:K152)</f>
        <v>14992</v>
      </c>
      <c r="L153" s="1546">
        <f>SUM(L149:L152)</f>
        <v>14992</v>
      </c>
      <c r="M153" s="1534">
        <f t="shared" si="54"/>
        <v>1</v>
      </c>
      <c r="N153" s="1546">
        <f t="shared" si="55"/>
        <v>14992</v>
      </c>
      <c r="O153" s="1188">
        <f>SUM(O149:O152)</f>
        <v>0</v>
      </c>
      <c r="P153" s="1547"/>
      <c r="Q153" s="689">
        <f t="shared" si="52"/>
        <v>14992</v>
      </c>
    </row>
    <row r="154" spans="1:17" s="708" customFormat="1" ht="30.95" customHeight="1">
      <c r="A154" s="687" t="s">
        <v>62</v>
      </c>
      <c r="B154" s="1842" t="s">
        <v>893</v>
      </c>
      <c r="C154" s="1843"/>
      <c r="D154" s="1843"/>
      <c r="E154" s="1843"/>
      <c r="F154" s="1843"/>
      <c r="G154" s="1843"/>
      <c r="H154" s="1843"/>
      <c r="I154" s="1843"/>
      <c r="J154" s="1843"/>
      <c r="K154" s="1843"/>
      <c r="L154" s="1843"/>
      <c r="M154" s="1843"/>
      <c r="N154" s="1843"/>
      <c r="O154" s="1843"/>
      <c r="P154" s="1844"/>
      <c r="Q154" s="689">
        <f t="shared" si="52"/>
        <v>0</v>
      </c>
    </row>
    <row r="155" spans="1:17" s="708" customFormat="1" ht="21" customHeight="1">
      <c r="A155" s="691"/>
      <c r="B155" s="692" t="s">
        <v>40</v>
      </c>
      <c r="C155" s="1183">
        <v>0</v>
      </c>
      <c r="D155" s="1183"/>
      <c r="E155" s="1183">
        <v>1658</v>
      </c>
      <c r="F155" s="1190"/>
      <c r="G155" s="1190">
        <f>E155+F155</f>
        <v>1658</v>
      </c>
      <c r="H155" s="1545"/>
      <c r="I155" s="1545">
        <f>G155+H155</f>
        <v>1658</v>
      </c>
      <c r="J155" s="1545"/>
      <c r="K155" s="1545">
        <f>I155+J155</f>
        <v>1658</v>
      </c>
      <c r="L155" s="1616">
        <v>0</v>
      </c>
      <c r="M155" s="1534">
        <f>L155/K155</f>
        <v>0</v>
      </c>
      <c r="N155" s="1545">
        <v>0</v>
      </c>
      <c r="O155" s="1190">
        <v>1658</v>
      </c>
      <c r="P155" s="1174"/>
      <c r="Q155" s="689">
        <f t="shared" si="52"/>
        <v>1658</v>
      </c>
    </row>
    <row r="156" spans="1:17" s="708" customFormat="1" ht="39" customHeight="1">
      <c r="A156" s="691"/>
      <c r="B156" s="692" t="s">
        <v>303</v>
      </c>
      <c r="C156" s="1183">
        <v>0</v>
      </c>
      <c r="D156" s="1183"/>
      <c r="E156" s="1183">
        <v>447</v>
      </c>
      <c r="F156" s="1190"/>
      <c r="G156" s="1190">
        <f>E156+F156</f>
        <v>447</v>
      </c>
      <c r="H156" s="1545"/>
      <c r="I156" s="1545">
        <f>G156+H156</f>
        <v>447</v>
      </c>
      <c r="J156" s="1545"/>
      <c r="K156" s="1545">
        <f>I156+J156</f>
        <v>447</v>
      </c>
      <c r="L156" s="1616">
        <v>0</v>
      </c>
      <c r="M156" s="1534">
        <f t="shared" ref="M156:M159" si="56">L156/K156</f>
        <v>0</v>
      </c>
      <c r="N156" s="1545">
        <v>0</v>
      </c>
      <c r="O156" s="1190">
        <v>447</v>
      </c>
      <c r="P156" s="1174"/>
      <c r="Q156" s="689">
        <f t="shared" si="52"/>
        <v>447</v>
      </c>
    </row>
    <row r="157" spans="1:17" s="708" customFormat="1" ht="21" customHeight="1">
      <c r="A157" s="691"/>
      <c r="B157" s="692" t="s">
        <v>132</v>
      </c>
      <c r="C157" s="1183">
        <v>0</v>
      </c>
      <c r="D157" s="1183"/>
      <c r="E157" s="1183">
        <v>32895</v>
      </c>
      <c r="F157" s="1190"/>
      <c r="G157" s="1183">
        <f>E157+F157</f>
        <v>32895</v>
      </c>
      <c r="H157" s="1183"/>
      <c r="I157" s="1183">
        <f>G157+H157</f>
        <v>32895</v>
      </c>
      <c r="J157" s="1183">
        <f>429+171</f>
        <v>600</v>
      </c>
      <c r="K157" s="1545">
        <f>I157+J157</f>
        <v>33495</v>
      </c>
      <c r="L157" s="1708">
        <v>31690</v>
      </c>
      <c r="M157" s="1534">
        <f t="shared" si="56"/>
        <v>0.94611135990446338</v>
      </c>
      <c r="N157" s="1545">
        <v>0</v>
      </c>
      <c r="O157" s="1190">
        <v>33495</v>
      </c>
      <c r="P157" s="1174"/>
      <c r="Q157" s="689">
        <f t="shared" si="52"/>
        <v>33495</v>
      </c>
    </row>
    <row r="158" spans="1:17" s="708" customFormat="1" ht="21" customHeight="1">
      <c r="A158" s="691"/>
      <c r="B158" s="692" t="s">
        <v>50</v>
      </c>
      <c r="C158" s="1183">
        <v>0</v>
      </c>
      <c r="D158" s="1183"/>
      <c r="E158" s="1183">
        <f t="shared" ref="E158" si="57">C158+D158</f>
        <v>0</v>
      </c>
      <c r="F158" s="1184"/>
      <c r="G158" s="1183">
        <v>0</v>
      </c>
      <c r="H158" s="1183"/>
      <c r="I158" s="1183">
        <f>G158+H158</f>
        <v>0</v>
      </c>
      <c r="J158" s="1183"/>
      <c r="K158" s="1545">
        <f>I158+J158</f>
        <v>0</v>
      </c>
      <c r="L158" s="1545"/>
      <c r="M158" s="1534"/>
      <c r="N158" s="1544"/>
      <c r="O158" s="1190"/>
      <c r="P158" s="1174"/>
      <c r="Q158" s="689">
        <f t="shared" si="52"/>
        <v>0</v>
      </c>
    </row>
    <row r="159" spans="1:17" s="708" customFormat="1" ht="23.1" customHeight="1" thickBot="1">
      <c r="A159" s="709"/>
      <c r="B159" s="696" t="s">
        <v>177</v>
      </c>
      <c r="C159" s="1548">
        <f>SUM(C155:C158)</f>
        <v>0</v>
      </c>
      <c r="D159" s="1548">
        <f t="shared" ref="D159:N159" si="58">SUM(D155:D158)</f>
        <v>0</v>
      </c>
      <c r="E159" s="1548">
        <f t="shared" si="58"/>
        <v>35000</v>
      </c>
      <c r="F159" s="1548">
        <f t="shared" si="58"/>
        <v>0</v>
      </c>
      <c r="G159" s="1548">
        <f t="shared" si="58"/>
        <v>35000</v>
      </c>
      <c r="H159" s="1548">
        <f>SUM(H155:H158)</f>
        <v>0</v>
      </c>
      <c r="I159" s="1548">
        <f>SUM(I155:I158)</f>
        <v>35000</v>
      </c>
      <c r="J159" s="1548">
        <f>SUM(J155:J158)</f>
        <v>600</v>
      </c>
      <c r="K159" s="1548">
        <f>SUM(K155:K158)</f>
        <v>35600</v>
      </c>
      <c r="L159" s="1548">
        <f>SUM(L155:L158)</f>
        <v>31690</v>
      </c>
      <c r="M159" s="1536">
        <f t="shared" si="56"/>
        <v>0.89016853932584272</v>
      </c>
      <c r="N159" s="1548">
        <f t="shared" si="58"/>
        <v>0</v>
      </c>
      <c r="O159" s="1549">
        <f>SUM(O155:O158)</f>
        <v>35600</v>
      </c>
      <c r="P159" s="1550"/>
      <c r="Q159" s="689">
        <f t="shared" si="52"/>
        <v>35600</v>
      </c>
    </row>
    <row r="160" spans="1:17" s="708" customFormat="1" ht="30.95" customHeight="1">
      <c r="A160" s="687" t="s">
        <v>63</v>
      </c>
      <c r="B160" s="1854" t="s">
        <v>894</v>
      </c>
      <c r="C160" s="1855"/>
      <c r="D160" s="1855"/>
      <c r="E160" s="1855"/>
      <c r="F160" s="1855"/>
      <c r="G160" s="1855"/>
      <c r="H160" s="1855"/>
      <c r="I160" s="1855"/>
      <c r="J160" s="1855"/>
      <c r="K160" s="1855"/>
      <c r="L160" s="1855"/>
      <c r="M160" s="1855"/>
      <c r="N160" s="1855"/>
      <c r="O160" s="1855"/>
      <c r="P160" s="1856"/>
      <c r="Q160" s="689">
        <f t="shared" si="52"/>
        <v>0</v>
      </c>
    </row>
    <row r="161" spans="1:17" s="708" customFormat="1" ht="21" customHeight="1">
      <c r="A161" s="691"/>
      <c r="B161" s="692" t="s">
        <v>40</v>
      </c>
      <c r="C161" s="1183">
        <v>0</v>
      </c>
      <c r="D161" s="1183"/>
      <c r="E161" s="1183">
        <f>C161+D161</f>
        <v>0</v>
      </c>
      <c r="F161" s="1184"/>
      <c r="G161" s="1184"/>
      <c r="H161" s="1544"/>
      <c r="I161" s="1544">
        <f>G161+H161</f>
        <v>0</v>
      </c>
      <c r="J161" s="1544"/>
      <c r="K161" s="1544">
        <f>I161+J161</f>
        <v>0</v>
      </c>
      <c r="L161" s="1544"/>
      <c r="M161" s="1534"/>
      <c r="N161" s="1544"/>
      <c r="O161" s="1190"/>
      <c r="P161" s="1174"/>
      <c r="Q161" s="689">
        <f t="shared" si="52"/>
        <v>0</v>
      </c>
    </row>
    <row r="162" spans="1:17" s="708" customFormat="1" ht="39" customHeight="1">
      <c r="A162" s="691"/>
      <c r="B162" s="692" t="s">
        <v>303</v>
      </c>
      <c r="C162" s="1183">
        <v>0</v>
      </c>
      <c r="D162" s="1183"/>
      <c r="E162" s="1183">
        <f t="shared" ref="E162:E164" si="59">C162+D162</f>
        <v>0</v>
      </c>
      <c r="F162" s="1184"/>
      <c r="G162" s="1184"/>
      <c r="H162" s="1544"/>
      <c r="I162" s="1544">
        <f>G162+H162</f>
        <v>0</v>
      </c>
      <c r="J162" s="1544"/>
      <c r="K162" s="1544">
        <f>I162+J162</f>
        <v>0</v>
      </c>
      <c r="L162" s="1544"/>
      <c r="M162" s="1534"/>
      <c r="N162" s="1544"/>
      <c r="O162" s="1190"/>
      <c r="P162" s="1174"/>
      <c r="Q162" s="689">
        <f t="shared" si="52"/>
        <v>0</v>
      </c>
    </row>
    <row r="163" spans="1:17" s="708" customFormat="1" ht="21" customHeight="1">
      <c r="A163" s="691"/>
      <c r="B163" s="692" t="s">
        <v>132</v>
      </c>
      <c r="C163" s="1183"/>
      <c r="D163" s="1183"/>
      <c r="E163" s="1183">
        <v>150</v>
      </c>
      <c r="F163" s="1190"/>
      <c r="G163" s="1183">
        <f>E163+F163</f>
        <v>150</v>
      </c>
      <c r="H163" s="1183"/>
      <c r="I163" s="1183">
        <f>G163+H163</f>
        <v>150</v>
      </c>
      <c r="J163" s="1183"/>
      <c r="K163" s="1544">
        <f>I163+J163</f>
        <v>150</v>
      </c>
      <c r="L163" s="1707">
        <v>80</v>
      </c>
      <c r="M163" s="1534">
        <f t="shared" ref="M163:M165" si="60">L163/K163</f>
        <v>0.53333333333333333</v>
      </c>
      <c r="N163" s="1544"/>
      <c r="O163" s="1190">
        <v>150</v>
      </c>
      <c r="P163" s="1174"/>
      <c r="Q163" s="689">
        <f t="shared" si="52"/>
        <v>150</v>
      </c>
    </row>
    <row r="164" spans="1:17" s="708" customFormat="1" ht="21" customHeight="1">
      <c r="A164" s="691"/>
      <c r="B164" s="692" t="s">
        <v>50</v>
      </c>
      <c r="C164" s="1183">
        <v>0</v>
      </c>
      <c r="D164" s="1183"/>
      <c r="E164" s="1183">
        <f t="shared" si="59"/>
        <v>0</v>
      </c>
      <c r="F164" s="1190"/>
      <c r="G164" s="1183">
        <v>0</v>
      </c>
      <c r="H164" s="1183"/>
      <c r="I164" s="1183">
        <f>G164+H164</f>
        <v>0</v>
      </c>
      <c r="J164" s="1183"/>
      <c r="K164" s="1544">
        <f>I164+J164</f>
        <v>0</v>
      </c>
      <c r="L164" s="1544"/>
      <c r="M164" s="1534"/>
      <c r="N164" s="1544"/>
      <c r="O164" s="1190"/>
      <c r="P164" s="1174"/>
      <c r="Q164" s="689">
        <f t="shared" si="52"/>
        <v>0</v>
      </c>
    </row>
    <row r="165" spans="1:17" s="708" customFormat="1" ht="23.1" customHeight="1" thickBot="1">
      <c r="A165" s="709"/>
      <c r="B165" s="696" t="s">
        <v>177</v>
      </c>
      <c r="C165" s="1548">
        <f>SUM(C161:C164)</f>
        <v>0</v>
      </c>
      <c r="D165" s="1548">
        <f t="shared" ref="D165:N165" si="61">SUM(D161:D164)</f>
        <v>0</v>
      </c>
      <c r="E165" s="1548">
        <f t="shared" si="61"/>
        <v>150</v>
      </c>
      <c r="F165" s="1548">
        <f t="shared" si="61"/>
        <v>0</v>
      </c>
      <c r="G165" s="1548">
        <f t="shared" si="61"/>
        <v>150</v>
      </c>
      <c r="H165" s="1548">
        <f>SUM(H161:H164)</f>
        <v>0</v>
      </c>
      <c r="I165" s="1548">
        <f>SUM(I161:I164)</f>
        <v>150</v>
      </c>
      <c r="J165" s="1548">
        <f>SUM(J161:J164)</f>
        <v>0</v>
      </c>
      <c r="K165" s="1548">
        <f>SUM(K161:K164)</f>
        <v>150</v>
      </c>
      <c r="L165" s="1548">
        <f>SUM(L161:L164)</f>
        <v>80</v>
      </c>
      <c r="M165" s="1536">
        <f t="shared" si="60"/>
        <v>0.53333333333333333</v>
      </c>
      <c r="N165" s="1548">
        <f t="shared" si="61"/>
        <v>0</v>
      </c>
      <c r="O165" s="1549">
        <f>SUM(O161:O164)</f>
        <v>150</v>
      </c>
      <c r="P165" s="1550"/>
      <c r="Q165" s="689">
        <f t="shared" si="52"/>
        <v>150</v>
      </c>
    </row>
    <row r="166" spans="1:17" s="708" customFormat="1" ht="30.95" customHeight="1">
      <c r="A166" s="687" t="s">
        <v>64</v>
      </c>
      <c r="B166" s="1854" t="s">
        <v>935</v>
      </c>
      <c r="C166" s="1855"/>
      <c r="D166" s="1855"/>
      <c r="E166" s="1855"/>
      <c r="F166" s="1855"/>
      <c r="G166" s="1855"/>
      <c r="H166" s="1855"/>
      <c r="I166" s="1855"/>
      <c r="J166" s="1855"/>
      <c r="K166" s="1855"/>
      <c r="L166" s="1855"/>
      <c r="M166" s="1855"/>
      <c r="N166" s="1855"/>
      <c r="O166" s="1855"/>
      <c r="P166" s="1856"/>
      <c r="Q166" s="689">
        <f t="shared" ref="Q166:Q171" si="62">N166+O166+P166</f>
        <v>0</v>
      </c>
    </row>
    <row r="167" spans="1:17" s="708" customFormat="1" ht="21" customHeight="1">
      <c r="A167" s="691"/>
      <c r="B167" s="692" t="s">
        <v>40</v>
      </c>
      <c r="C167" s="1183">
        <v>0</v>
      </c>
      <c r="D167" s="1183"/>
      <c r="E167" s="1183">
        <f>C167+D167</f>
        <v>0</v>
      </c>
      <c r="F167" s="1184"/>
      <c r="G167" s="1184"/>
      <c r="H167" s="1544"/>
      <c r="I167" s="1544">
        <f>G167+H167</f>
        <v>0</v>
      </c>
      <c r="J167" s="1544"/>
      <c r="K167" s="1544">
        <f>I167+J167</f>
        <v>0</v>
      </c>
      <c r="L167" s="1544"/>
      <c r="M167" s="1534"/>
      <c r="N167" s="1544"/>
      <c r="O167" s="1190"/>
      <c r="P167" s="1174"/>
      <c r="Q167" s="689">
        <f t="shared" si="62"/>
        <v>0</v>
      </c>
    </row>
    <row r="168" spans="1:17" s="708" customFormat="1" ht="39" customHeight="1">
      <c r="A168" s="691"/>
      <c r="B168" s="692" t="s">
        <v>303</v>
      </c>
      <c r="C168" s="1183">
        <v>0</v>
      </c>
      <c r="D168" s="1183"/>
      <c r="E168" s="1183">
        <f t="shared" ref="E168" si="63">C168+D168</f>
        <v>0</v>
      </c>
      <c r="F168" s="1184"/>
      <c r="G168" s="1184"/>
      <c r="H168" s="1544"/>
      <c r="I168" s="1544">
        <f>G168+H168</f>
        <v>0</v>
      </c>
      <c r="J168" s="1544"/>
      <c r="K168" s="1544">
        <f>I168+J168</f>
        <v>0</v>
      </c>
      <c r="L168" s="1544"/>
      <c r="M168" s="1534"/>
      <c r="N168" s="1544"/>
      <c r="O168" s="1190"/>
      <c r="P168" s="1174"/>
      <c r="Q168" s="689">
        <f t="shared" si="62"/>
        <v>0</v>
      </c>
    </row>
    <row r="169" spans="1:17" s="708" customFormat="1" ht="21" customHeight="1">
      <c r="A169" s="691"/>
      <c r="B169" s="692" t="s">
        <v>132</v>
      </c>
      <c r="C169" s="1183"/>
      <c r="D169" s="1183"/>
      <c r="E169" s="1183">
        <v>150</v>
      </c>
      <c r="F169" s="1190"/>
      <c r="G169" s="1183"/>
      <c r="H169" s="1183">
        <v>200</v>
      </c>
      <c r="I169" s="1183">
        <f>G169+H169</f>
        <v>200</v>
      </c>
      <c r="J169" s="1183">
        <v>305</v>
      </c>
      <c r="K169" s="1544">
        <f>I169+J169</f>
        <v>505</v>
      </c>
      <c r="L169" s="1707">
        <v>505</v>
      </c>
      <c r="M169" s="1534">
        <f t="shared" ref="M169:M171" si="64">L169/K169</f>
        <v>1</v>
      </c>
      <c r="N169" s="1544"/>
      <c r="O169" s="1190">
        <v>505</v>
      </c>
      <c r="P169" s="1174"/>
      <c r="Q169" s="689">
        <f t="shared" si="62"/>
        <v>505</v>
      </c>
    </row>
    <row r="170" spans="1:17" s="708" customFormat="1" ht="21" customHeight="1">
      <c r="A170" s="691"/>
      <c r="B170" s="692" t="s">
        <v>50</v>
      </c>
      <c r="C170" s="1183">
        <v>0</v>
      </c>
      <c r="D170" s="1183"/>
      <c r="E170" s="1183">
        <f t="shared" ref="E170" si="65">C170+D170</f>
        <v>0</v>
      </c>
      <c r="F170" s="1190"/>
      <c r="G170" s="1183">
        <v>0</v>
      </c>
      <c r="H170" s="1183"/>
      <c r="I170" s="1183">
        <f>G170+H170</f>
        <v>0</v>
      </c>
      <c r="J170" s="1183"/>
      <c r="K170" s="1544">
        <f>I170+J170</f>
        <v>0</v>
      </c>
      <c r="L170" s="1544"/>
      <c r="M170" s="1534"/>
      <c r="N170" s="1544"/>
      <c r="O170" s="1190"/>
      <c r="P170" s="1174"/>
      <c r="Q170" s="689">
        <f t="shared" si="62"/>
        <v>0</v>
      </c>
    </row>
    <row r="171" spans="1:17" s="708" customFormat="1" ht="23.1" customHeight="1" thickBot="1">
      <c r="A171" s="709"/>
      <c r="B171" s="696" t="s">
        <v>177</v>
      </c>
      <c r="C171" s="1548">
        <f>SUM(C167:C170)</f>
        <v>0</v>
      </c>
      <c r="D171" s="1548">
        <f t="shared" ref="D171:G171" si="66">SUM(D167:D170)</f>
        <v>0</v>
      </c>
      <c r="E171" s="1548">
        <f t="shared" si="66"/>
        <v>150</v>
      </c>
      <c r="F171" s="1548">
        <f t="shared" si="66"/>
        <v>0</v>
      </c>
      <c r="G171" s="1548">
        <f t="shared" si="66"/>
        <v>0</v>
      </c>
      <c r="H171" s="1548">
        <f>SUM(H167:H170)</f>
        <v>200</v>
      </c>
      <c r="I171" s="1548">
        <f>SUM(I167:I170)</f>
        <v>200</v>
      </c>
      <c r="J171" s="1548">
        <f>SUM(J167:J170)</f>
        <v>305</v>
      </c>
      <c r="K171" s="1548">
        <f>SUM(K167:K170)</f>
        <v>505</v>
      </c>
      <c r="L171" s="1548">
        <f>SUM(L167:L170)</f>
        <v>505</v>
      </c>
      <c r="M171" s="1536">
        <f t="shared" si="64"/>
        <v>1</v>
      </c>
      <c r="N171" s="1548">
        <f t="shared" ref="N171" si="67">SUM(N167:N170)</f>
        <v>0</v>
      </c>
      <c r="O171" s="1549">
        <f>SUM(O167:O170)</f>
        <v>505</v>
      </c>
      <c r="P171" s="1550"/>
      <c r="Q171" s="689">
        <f t="shared" si="62"/>
        <v>505</v>
      </c>
    </row>
    <row r="172" spans="1:17" s="708" customFormat="1" ht="30.95" customHeight="1">
      <c r="A172" s="687" t="s">
        <v>65</v>
      </c>
      <c r="B172" s="1854" t="s">
        <v>936</v>
      </c>
      <c r="C172" s="1855"/>
      <c r="D172" s="1855"/>
      <c r="E172" s="1855"/>
      <c r="F172" s="1855"/>
      <c r="G172" s="1855"/>
      <c r="H172" s="1855"/>
      <c r="I172" s="1855"/>
      <c r="J172" s="1855"/>
      <c r="K172" s="1855"/>
      <c r="L172" s="1855"/>
      <c r="M172" s="1855"/>
      <c r="N172" s="1855"/>
      <c r="O172" s="1855"/>
      <c r="P172" s="1856"/>
      <c r="Q172" s="689">
        <f t="shared" ref="Q172:Q177" si="68">N172+O172+P172</f>
        <v>0</v>
      </c>
    </row>
    <row r="173" spans="1:17" s="708" customFormat="1" ht="21" customHeight="1">
      <c r="A173" s="691"/>
      <c r="B173" s="692" t="s">
        <v>40</v>
      </c>
      <c r="C173" s="1183">
        <v>0</v>
      </c>
      <c r="D173" s="1183"/>
      <c r="E173" s="1183">
        <f>C173+D173</f>
        <v>0</v>
      </c>
      <c r="F173" s="1184"/>
      <c r="G173" s="1184"/>
      <c r="H173" s="1544"/>
      <c r="I173" s="1544">
        <f>G173+H173</f>
        <v>0</v>
      </c>
      <c r="J173" s="1544"/>
      <c r="K173" s="1544">
        <f>I173+J173</f>
        <v>0</v>
      </c>
      <c r="L173" s="1544"/>
      <c r="M173" s="1534"/>
      <c r="N173" s="1544"/>
      <c r="O173" s="1190"/>
      <c r="P173" s="1174"/>
      <c r="Q173" s="689">
        <f t="shared" si="68"/>
        <v>0</v>
      </c>
    </row>
    <row r="174" spans="1:17" s="708" customFormat="1" ht="39" customHeight="1">
      <c r="A174" s="691"/>
      <c r="B174" s="692" t="s">
        <v>303</v>
      </c>
      <c r="C174" s="1183">
        <v>0</v>
      </c>
      <c r="D174" s="1183"/>
      <c r="E174" s="1183">
        <f t="shared" ref="E174" si="69">C174+D174</f>
        <v>0</v>
      </c>
      <c r="F174" s="1184"/>
      <c r="G174" s="1184"/>
      <c r="H174" s="1544"/>
      <c r="I174" s="1544">
        <f>G174+H174</f>
        <v>0</v>
      </c>
      <c r="J174" s="1544"/>
      <c r="K174" s="1544">
        <f>I174+J174</f>
        <v>0</v>
      </c>
      <c r="L174" s="1544"/>
      <c r="M174" s="1534"/>
      <c r="N174" s="1544"/>
      <c r="O174" s="1190"/>
      <c r="P174" s="1174"/>
      <c r="Q174" s="689">
        <f t="shared" si="68"/>
        <v>0</v>
      </c>
    </row>
    <row r="175" spans="1:17" s="708" customFormat="1" ht="21" customHeight="1">
      <c r="A175" s="691"/>
      <c r="B175" s="692" t="s">
        <v>132</v>
      </c>
      <c r="C175" s="1183"/>
      <c r="D175" s="1183"/>
      <c r="E175" s="1183">
        <v>150</v>
      </c>
      <c r="F175" s="1190"/>
      <c r="G175" s="1183"/>
      <c r="H175" s="1183">
        <v>110</v>
      </c>
      <c r="I175" s="1183">
        <f>G175+H175</f>
        <v>110</v>
      </c>
      <c r="J175" s="1183"/>
      <c r="K175" s="1544">
        <f>I175+J175</f>
        <v>110</v>
      </c>
      <c r="L175" s="1707">
        <v>108</v>
      </c>
      <c r="M175" s="1534">
        <f t="shared" ref="M175:M177" si="70">L175/K175</f>
        <v>0.98181818181818181</v>
      </c>
      <c r="N175" s="1544"/>
      <c r="O175" s="1190">
        <v>110</v>
      </c>
      <c r="P175" s="1174"/>
      <c r="Q175" s="689">
        <f t="shared" si="68"/>
        <v>110</v>
      </c>
    </row>
    <row r="176" spans="1:17" s="708" customFormat="1" ht="21" customHeight="1">
      <c r="A176" s="691"/>
      <c r="B176" s="692" t="s">
        <v>50</v>
      </c>
      <c r="C176" s="1183">
        <v>0</v>
      </c>
      <c r="D176" s="1183"/>
      <c r="E176" s="1183">
        <f t="shared" ref="E176" si="71">C176+D176</f>
        <v>0</v>
      </c>
      <c r="F176" s="1190"/>
      <c r="G176" s="1183">
        <v>0</v>
      </c>
      <c r="H176" s="1183"/>
      <c r="I176" s="1183">
        <f>G176+H176</f>
        <v>0</v>
      </c>
      <c r="J176" s="1183"/>
      <c r="K176" s="1544">
        <f>I176+J176</f>
        <v>0</v>
      </c>
      <c r="L176" s="1544"/>
      <c r="M176" s="1534"/>
      <c r="N176" s="1544"/>
      <c r="O176" s="1190"/>
      <c r="P176" s="1174"/>
      <c r="Q176" s="689">
        <f t="shared" si="68"/>
        <v>0</v>
      </c>
    </row>
    <row r="177" spans="1:18" s="708" customFormat="1" ht="23.1" customHeight="1" thickBot="1">
      <c r="A177" s="709"/>
      <c r="B177" s="696" t="s">
        <v>177</v>
      </c>
      <c r="C177" s="1548">
        <f>SUM(C173:C176)</f>
        <v>0</v>
      </c>
      <c r="D177" s="1548">
        <f t="shared" ref="D177:G177" si="72">SUM(D173:D176)</f>
        <v>0</v>
      </c>
      <c r="E177" s="1548">
        <f t="shared" si="72"/>
        <v>150</v>
      </c>
      <c r="F177" s="1548">
        <f t="shared" si="72"/>
        <v>0</v>
      </c>
      <c r="G177" s="1548">
        <f t="shared" si="72"/>
        <v>0</v>
      </c>
      <c r="H177" s="1548">
        <f>SUM(H173:H176)</f>
        <v>110</v>
      </c>
      <c r="I177" s="1548">
        <f>SUM(I173:I176)</f>
        <v>110</v>
      </c>
      <c r="J177" s="1548">
        <f>SUM(J173:J176)</f>
        <v>0</v>
      </c>
      <c r="K177" s="1548">
        <f>SUM(K173:K176)</f>
        <v>110</v>
      </c>
      <c r="L177" s="1548">
        <f>SUM(L173:L176)</f>
        <v>108</v>
      </c>
      <c r="M177" s="1536">
        <f t="shared" si="70"/>
        <v>0.98181818181818181</v>
      </c>
      <c r="N177" s="1548">
        <f t="shared" ref="N177" si="73">SUM(N173:N176)</f>
        <v>0</v>
      </c>
      <c r="O177" s="1549">
        <v>110</v>
      </c>
      <c r="P177" s="1550"/>
      <c r="Q177" s="689">
        <f t="shared" si="68"/>
        <v>110</v>
      </c>
    </row>
    <row r="178" spans="1:18" s="708" customFormat="1" ht="30.95" customHeight="1">
      <c r="A178" s="687" t="s">
        <v>66</v>
      </c>
      <c r="B178" s="1854" t="s">
        <v>937</v>
      </c>
      <c r="C178" s="1855"/>
      <c r="D178" s="1855"/>
      <c r="E178" s="1855"/>
      <c r="F178" s="1855"/>
      <c r="G178" s="1855"/>
      <c r="H178" s="1855"/>
      <c r="I178" s="1855"/>
      <c r="J178" s="1855"/>
      <c r="K178" s="1855"/>
      <c r="L178" s="1855"/>
      <c r="M178" s="1855"/>
      <c r="N178" s="1855"/>
      <c r="O178" s="1855"/>
      <c r="P178" s="1856"/>
      <c r="Q178" s="689">
        <f t="shared" ref="Q178:Q183" si="74">N178+O178+P178</f>
        <v>0</v>
      </c>
    </row>
    <row r="179" spans="1:18" s="708" customFormat="1" ht="21" customHeight="1">
      <c r="A179" s="691"/>
      <c r="B179" s="692" t="s">
        <v>40</v>
      </c>
      <c r="C179" s="1183">
        <v>0</v>
      </c>
      <c r="D179" s="1183"/>
      <c r="E179" s="1183">
        <f>C179+D179</f>
        <v>0</v>
      </c>
      <c r="F179" s="1184"/>
      <c r="G179" s="1184"/>
      <c r="H179" s="1544"/>
      <c r="I179" s="1544">
        <f>G179+H179</f>
        <v>0</v>
      </c>
      <c r="J179" s="1544"/>
      <c r="K179" s="1544">
        <f>I179+J179</f>
        <v>0</v>
      </c>
      <c r="L179" s="1544"/>
      <c r="M179" s="1534"/>
      <c r="N179" s="1544"/>
      <c r="O179" s="1190"/>
      <c r="P179" s="1174"/>
      <c r="Q179" s="689">
        <f t="shared" si="74"/>
        <v>0</v>
      </c>
    </row>
    <row r="180" spans="1:18" s="708" customFormat="1" ht="39" customHeight="1">
      <c r="A180" s="691"/>
      <c r="B180" s="692" t="s">
        <v>303</v>
      </c>
      <c r="C180" s="1183">
        <v>0</v>
      </c>
      <c r="D180" s="1183"/>
      <c r="E180" s="1183">
        <f t="shared" ref="E180" si="75">C180+D180</f>
        <v>0</v>
      </c>
      <c r="F180" s="1184"/>
      <c r="G180" s="1184"/>
      <c r="H180" s="1544"/>
      <c r="I180" s="1544">
        <f>G180+H180</f>
        <v>0</v>
      </c>
      <c r="J180" s="1544"/>
      <c r="K180" s="1544">
        <f>I180+J180</f>
        <v>0</v>
      </c>
      <c r="L180" s="1544"/>
      <c r="M180" s="1534"/>
      <c r="N180" s="1544"/>
      <c r="O180" s="1190"/>
      <c r="P180" s="1174"/>
      <c r="Q180" s="689">
        <f t="shared" si="74"/>
        <v>0</v>
      </c>
    </row>
    <row r="181" spans="1:18" s="708" customFormat="1" ht="21" customHeight="1">
      <c r="A181" s="691"/>
      <c r="B181" s="692" t="s">
        <v>132</v>
      </c>
      <c r="C181" s="1183"/>
      <c r="D181" s="1183"/>
      <c r="E181" s="1183">
        <v>150</v>
      </c>
      <c r="F181" s="1190"/>
      <c r="G181" s="1183"/>
      <c r="H181" s="1183">
        <v>685</v>
      </c>
      <c r="I181" s="1183">
        <f>G181+H181</f>
        <v>685</v>
      </c>
      <c r="J181" s="1183"/>
      <c r="K181" s="1544">
        <f>I181+J181</f>
        <v>685</v>
      </c>
      <c r="L181" s="1707">
        <v>685</v>
      </c>
      <c r="M181" s="1534">
        <f t="shared" ref="M181:M183" si="76">L181/K181</f>
        <v>1</v>
      </c>
      <c r="N181" s="1544"/>
      <c r="O181" s="1190">
        <v>685</v>
      </c>
      <c r="P181" s="1174"/>
      <c r="Q181" s="689">
        <f t="shared" si="74"/>
        <v>685</v>
      </c>
    </row>
    <row r="182" spans="1:18" s="708" customFormat="1" ht="21" customHeight="1">
      <c r="A182" s="691"/>
      <c r="B182" s="692" t="s">
        <v>50</v>
      </c>
      <c r="C182" s="1183">
        <v>0</v>
      </c>
      <c r="D182" s="1183"/>
      <c r="E182" s="1183">
        <f t="shared" ref="E182" si="77">C182+D182</f>
        <v>0</v>
      </c>
      <c r="F182" s="1190"/>
      <c r="G182" s="1183">
        <v>0</v>
      </c>
      <c r="H182" s="1183"/>
      <c r="I182" s="1183">
        <f>G182+H182</f>
        <v>0</v>
      </c>
      <c r="J182" s="1183"/>
      <c r="K182" s="1544">
        <f>I182+J182</f>
        <v>0</v>
      </c>
      <c r="L182" s="1544"/>
      <c r="M182" s="1534"/>
      <c r="N182" s="1544"/>
      <c r="O182" s="1190"/>
      <c r="P182" s="1174"/>
      <c r="Q182" s="689">
        <f t="shared" si="74"/>
        <v>0</v>
      </c>
    </row>
    <row r="183" spans="1:18" s="708" customFormat="1" ht="23.1" customHeight="1" thickBot="1">
      <c r="A183" s="709"/>
      <c r="B183" s="710" t="s">
        <v>177</v>
      </c>
      <c r="C183" s="1546">
        <f>SUM(C179:C182)</f>
        <v>0</v>
      </c>
      <c r="D183" s="1546">
        <f t="shared" ref="D183:G183" si="78">SUM(D179:D182)</f>
        <v>0</v>
      </c>
      <c r="E183" s="1546">
        <f t="shared" si="78"/>
        <v>150</v>
      </c>
      <c r="F183" s="1546">
        <f t="shared" si="78"/>
        <v>0</v>
      </c>
      <c r="G183" s="1546">
        <f t="shared" si="78"/>
        <v>0</v>
      </c>
      <c r="H183" s="1546">
        <f>SUM(H179:H182)</f>
        <v>685</v>
      </c>
      <c r="I183" s="1546">
        <f>SUM(I179:I182)</f>
        <v>685</v>
      </c>
      <c r="J183" s="1546">
        <f>SUM(J179:J182)</f>
        <v>0</v>
      </c>
      <c r="K183" s="1546">
        <f>SUM(K179:K182)</f>
        <v>685</v>
      </c>
      <c r="L183" s="1546">
        <f>SUM(L179:L182)</f>
        <v>685</v>
      </c>
      <c r="M183" s="1534">
        <f t="shared" si="76"/>
        <v>1</v>
      </c>
      <c r="N183" s="1546">
        <f t="shared" ref="N183" si="79">SUM(N179:N182)</f>
        <v>0</v>
      </c>
      <c r="O183" s="1188">
        <v>685</v>
      </c>
      <c r="P183" s="1547"/>
      <c r="Q183" s="689">
        <f t="shared" si="74"/>
        <v>685</v>
      </c>
    </row>
    <row r="184" spans="1:18" s="700" customFormat="1" ht="29.25" customHeight="1" thickBot="1">
      <c r="A184" s="1848" t="s">
        <v>108</v>
      </c>
      <c r="B184" s="1849"/>
      <c r="C184" s="1850"/>
      <c r="D184" s="1851"/>
      <c r="E184" s="1851"/>
      <c r="F184" s="1851"/>
      <c r="G184" s="1851"/>
      <c r="H184" s="1851"/>
      <c r="I184" s="1851"/>
      <c r="J184" s="1851"/>
      <c r="K184" s="1851"/>
      <c r="L184" s="1851"/>
      <c r="M184" s="1851"/>
      <c r="N184" s="1852"/>
      <c r="O184" s="1852"/>
      <c r="P184" s="1853"/>
      <c r="Q184" s="689"/>
    </row>
    <row r="185" spans="1:18" s="690" customFormat="1" ht="23.1" customHeight="1">
      <c r="A185" s="712"/>
      <c r="B185" s="713" t="s">
        <v>40</v>
      </c>
      <c r="C185" s="1169">
        <f t="shared" ref="C185:D188" si="80">C5+C11+C17+C23+C29+C35+C41+C47+C53+C59+C66+C72+C79+C85+C91 +C98+C105+C111+C118+C124+C130+C143</f>
        <v>0</v>
      </c>
      <c r="D185" s="1169">
        <f t="shared" si="80"/>
        <v>53870</v>
      </c>
      <c r="E185" s="1169">
        <f t="shared" ref="E185:G186" si="81">E5+E11+E17+E23+E29+E35+E41+E47+E53+E59+E66+E72+E79+E85+E91 +E98+E105+E111+E118+E124+E130+E143+E155</f>
        <v>82484</v>
      </c>
      <c r="F185" s="1169">
        <f t="shared" si="81"/>
        <v>4115</v>
      </c>
      <c r="G185" s="1169">
        <f t="shared" si="81"/>
        <v>86599</v>
      </c>
      <c r="H185" s="1169">
        <f t="shared" ref="H185:K186" si="82">H5+H11+H17+H23+H29+H35+H41+H47+H53+H59+H66+H72+H79+H85+H91+H98+H105+H111+H118+H124+H130+H143+H149+H155+H161</f>
        <v>2527</v>
      </c>
      <c r="I185" s="1169">
        <f t="shared" si="82"/>
        <v>89126</v>
      </c>
      <c r="J185" s="1169">
        <f t="shared" si="82"/>
        <v>0</v>
      </c>
      <c r="K185" s="1169">
        <f t="shared" si="82"/>
        <v>89126</v>
      </c>
      <c r="L185" s="1169">
        <f>L5+L11+L17+L23+L29+L35+L41+L47+L53+L59+L66+L72+L79+L85+L91+L98+L105+L111+L118+L124+L130+L136+L167+L173+L143+L149+L155+L161+L179</f>
        <v>73493</v>
      </c>
      <c r="M185" s="1534">
        <f>L185/K185</f>
        <v>0.82459663846688958</v>
      </c>
      <c r="N185" s="1169">
        <f>N5+N11+N17+N23+N29+N35+N41+N47+N53+N59+N66+N72+N79+N85+N91 +N98+N105+N111+N118+N124+N130+N143+N155</f>
        <v>85522</v>
      </c>
      <c r="O185" s="1169">
        <f>O5+O11+O17+O23+O29+O35+O41+O47+O53+O59+O66+O72+O79+O85+O91 +O98+O105+O111+O118+O124+O130+O143+O155</f>
        <v>3604</v>
      </c>
      <c r="P185" s="1170">
        <f>P5+P11+P17+P23+P29+P35+P41+P47+P53+P59+P66+P72+P79+P85+P91 +P98+P105+P111+P118+P124+P130+P143</f>
        <v>0</v>
      </c>
      <c r="Q185" s="689">
        <f t="shared" si="44"/>
        <v>89126</v>
      </c>
      <c r="R185" s="690" t="s">
        <v>1120</v>
      </c>
    </row>
    <row r="186" spans="1:18" s="690" customFormat="1" ht="39.75" customHeight="1">
      <c r="A186" s="691"/>
      <c r="B186" s="714" t="s">
        <v>303</v>
      </c>
      <c r="C186" s="1171">
        <f t="shared" si="80"/>
        <v>0</v>
      </c>
      <c r="D186" s="1171">
        <f t="shared" si="80"/>
        <v>7239</v>
      </c>
      <c r="E186" s="1171">
        <f t="shared" si="81"/>
        <v>12466</v>
      </c>
      <c r="F186" s="1171">
        <f t="shared" si="81"/>
        <v>135</v>
      </c>
      <c r="G186" s="1171">
        <f t="shared" si="81"/>
        <v>12601</v>
      </c>
      <c r="H186" s="1171">
        <f t="shared" si="82"/>
        <v>690</v>
      </c>
      <c r="I186" s="1171">
        <f t="shared" si="82"/>
        <v>13291</v>
      </c>
      <c r="J186" s="1171">
        <f t="shared" si="82"/>
        <v>0</v>
      </c>
      <c r="K186" s="1171">
        <f t="shared" si="82"/>
        <v>13291</v>
      </c>
      <c r="L186" s="1169">
        <f t="shared" ref="L186:L188" si="83">L6+L12+L18+L24+L30+L36+L42+L48+L54+L60+L67+L73+L80+L86+L92+L99+L106+L112+L119+L125+L131+L137+L168+L174+L144+L150+L156+L162+L180</f>
        <v>10952</v>
      </c>
      <c r="M186" s="1534">
        <f t="shared" ref="M186:M189" si="84">L186/K186</f>
        <v>0.8240162515988263</v>
      </c>
      <c r="N186" s="1171">
        <f>N6+N12+N18+N24+N30+N36+N42+N48+N54+N60+N67+N73+N80+N86+N92 +N99+N106+N112+N119+N125+N131+N144+N156</f>
        <v>12154</v>
      </c>
      <c r="O186" s="1171">
        <f>O6+O12+O18+O24+O30+O36+O42+O48+O54+O60+O67+O73+O80+O86+O92 +O99+O106+O112+O119+O125+O131+O144+O156</f>
        <v>1137</v>
      </c>
      <c r="P186" s="1172">
        <f>P6+P12+P18+P24+P30+P36+P42+P48+P54+P60+P67+P73+P80+P86+P92 +P99+P106+P112+P119+P125+P131+P144</f>
        <v>0</v>
      </c>
      <c r="Q186" s="689">
        <f t="shared" si="44"/>
        <v>13291</v>
      </c>
      <c r="R186" s="690" t="s">
        <v>1120</v>
      </c>
    </row>
    <row r="187" spans="1:18" s="690" customFormat="1" ht="23.1" customHeight="1">
      <c r="A187" s="691"/>
      <c r="B187" s="714" t="s">
        <v>132</v>
      </c>
      <c r="C187" s="1171">
        <f t="shared" si="80"/>
        <v>304300</v>
      </c>
      <c r="D187" s="1171">
        <f t="shared" si="80"/>
        <v>14265</v>
      </c>
      <c r="E187" s="1171">
        <f>E7+E13+E19+E25+E31+E37+E43+E49+E55+E61+E68+E74+E81+E87+E93 +E100+E107+E113+E120+E126+E132+E145+E151+E157+E163</f>
        <v>374226</v>
      </c>
      <c r="F187" s="1171">
        <f>F7+F13+F19+F25+F31+F37+F43+F49+F55+F61+F68+F74+F81+F87+F93 +F100+F107+F113+F120+F126+F132+F145+F151+F157+F163</f>
        <v>32036</v>
      </c>
      <c r="G187" s="1171">
        <f>G7+G13+G19+G25+G31+G37+G43+G49+G55+G61+G68+G74+G81+G87+G93 +G100+G107+G113+G120+G126+G132+G145+G151+G157+G163</f>
        <v>406262</v>
      </c>
      <c r="H187" s="1171">
        <f>H7+H13+H19+H25+H31+H37+H43+H49+H55+H61+H68+H74+H81+H87+H93+H100+H107+H113+H120+H126+H132+H145+H151+H157+H163+H169+H175+H181+H138</f>
        <v>33143</v>
      </c>
      <c r="I187" s="1171">
        <f>I7+I13+I19+I25+I31+I37+I43+I49+I55+I61+I68+I74+I81+I87+I93+I100+I107+I113+I120+I126+I132+I145+I151+I157+I163+I169+I175+I181+I138</f>
        <v>439405</v>
      </c>
      <c r="J187" s="1171">
        <f t="shared" ref="J187:O187" si="85">J7+J13+J19+J25+J31+J37+J43+J49+J55+J61+J68+J74+J81+J87+J93+J100+J107+J113+J120+J126+J132+J145+J151+J157+J163+J169+J175+J181+J138</f>
        <v>65130</v>
      </c>
      <c r="K187" s="1171">
        <f>K7+K13+K19+K25+K31+K37+K43+K49+K55+K61+K68+K74+K81+K87+K93+K100+K107+K113+K120+K126+K132+K145+K151+K157+K163+K169+K175+K181+K138</f>
        <v>504535</v>
      </c>
      <c r="L187" s="1169">
        <f>L7+L13+L19+L25+L31+L37+L43+L49+L55+L61+L68+L74+L81+L87+L93+L100+L107+L113+L120+L126+L132+L138+L169+L175+L145+L151+L157+L163+L181</f>
        <v>411759</v>
      </c>
      <c r="M187" s="1534">
        <f t="shared" si="84"/>
        <v>0.81611582942709626</v>
      </c>
      <c r="N187" s="1171">
        <f t="shared" si="85"/>
        <v>429705</v>
      </c>
      <c r="O187" s="1171">
        <f t="shared" si="85"/>
        <v>74830</v>
      </c>
      <c r="P187" s="1172">
        <v>0</v>
      </c>
      <c r="Q187" s="689">
        <f t="shared" si="44"/>
        <v>504535</v>
      </c>
    </row>
    <row r="188" spans="1:18" s="690" customFormat="1" ht="23.1" customHeight="1">
      <c r="A188" s="691"/>
      <c r="B188" s="714" t="s">
        <v>42</v>
      </c>
      <c r="C188" s="1171">
        <f t="shared" si="80"/>
        <v>46000</v>
      </c>
      <c r="D188" s="1171">
        <f t="shared" si="80"/>
        <v>0</v>
      </c>
      <c r="E188" s="1171">
        <f>E8+E14+E20+E26+E32+E38+E44+E50+E56+E62+E69+E75+E82+E88+E94 +E101+E108+E114+E121+E127+E133+E146</f>
        <v>46100</v>
      </c>
      <c r="F188" s="1171">
        <f>F8+F14+F20+F26+F32+F38+F44+F50+F56+F62+F69+F75+F82+F88+F94 +F101+F108+F114+F121+F127+F133+F146</f>
        <v>8093</v>
      </c>
      <c r="G188" s="1171">
        <f>G8+G14+G20+G26+G32+G38+G44+G50+G56+G62+G69+G75+G82+G88+G94 +G101+G108+G114+G121+G127+G133+G146</f>
        <v>54193</v>
      </c>
      <c r="H188" s="1171">
        <f>H8+H14+H20+H26+H32+H38+H44+H50+H56+H62+H69+H75+H82+H88+H94+H101+H108+H114+H121+H127+H133+H146+H152+H158+H164</f>
        <v>12383</v>
      </c>
      <c r="I188" s="1171">
        <f>I8+I14+I20+I26+I32+I38+I44+I50+I56+I62+I69+I75+I82+I88+I94+I101+I108+I114+I121+I127+I133+I146+I152+I158+I164</f>
        <v>66576</v>
      </c>
      <c r="J188" s="1171">
        <f>J8+J14+J20+J26+J32+J38+J44+J50+J56+J62+J69+J75+J82+J88+J94+J101+J108+J114+J121+J127+J133+J146+J152+J158+J164</f>
        <v>0</v>
      </c>
      <c r="K188" s="1171">
        <f>K8+K14+K20+K26+K32+K38+K44+K50+K56+K62+K69+K75+K82+K88+K94+K101+K108+K114+K121+K127+K133+K146+K152+K158+K164</f>
        <v>66576</v>
      </c>
      <c r="L188" s="1169">
        <f t="shared" si="83"/>
        <v>58777</v>
      </c>
      <c r="M188" s="1534">
        <f t="shared" si="84"/>
        <v>0.88285568372987266</v>
      </c>
      <c r="N188" s="1171">
        <f>N8+N14+N20+N26+N32+N38+N44+N50+N56+N62+N69+N75+N82+N88+N94 +N101+N108+N114+N121+N127+N133+N146</f>
        <v>58576</v>
      </c>
      <c r="O188" s="1171">
        <f>O8+O14+O20+O26+O32+O38+O44+O50+O56+O62+O69+O75+O82+O88+O94 +O101+O108+O114+O121+O127+O133+O146</f>
        <v>8000</v>
      </c>
      <c r="P188" s="1172">
        <f>P8+P14+P20+P26+P32+P38+P44+P50+P56+P62+P69+P75+P82+P88+P94 +P101+P108+P114+P121+P127+P133+P146</f>
        <v>0</v>
      </c>
      <c r="Q188" s="689">
        <f t="shared" si="44"/>
        <v>66576</v>
      </c>
      <c r="R188" s="690" t="s">
        <v>1120</v>
      </c>
    </row>
    <row r="189" spans="1:18" s="690" customFormat="1" ht="23.1" customHeight="1">
      <c r="A189" s="691"/>
      <c r="B189" s="714" t="s">
        <v>477</v>
      </c>
      <c r="C189" s="1695">
        <v>147000</v>
      </c>
      <c r="D189" s="1695" t="e">
        <f>'12'!D5+#REF!+#REF!</f>
        <v>#REF!</v>
      </c>
      <c r="E189" s="1171" t="e">
        <f>'12'!E5+#REF!+#REF!</f>
        <v>#REF!</v>
      </c>
      <c r="F189" s="1171" t="e">
        <f>'12'!F5+#REF!+#REF!</f>
        <v>#REF!</v>
      </c>
      <c r="G189" s="1171">
        <v>150312</v>
      </c>
      <c r="H189" s="1171" t="e">
        <f>'12'!F5+#REF!+#REF!</f>
        <v>#REF!</v>
      </c>
      <c r="I189" s="1171" t="e">
        <f>'12'!G5+#REF!+#REF!</f>
        <v>#REF!</v>
      </c>
      <c r="J189" s="1171" t="e">
        <f>'12'!H5+#REF!+#REF!</f>
        <v>#REF!</v>
      </c>
      <c r="K189" s="1695">
        <v>368835</v>
      </c>
      <c r="L189" s="1169">
        <f>41774</f>
        <v>41774</v>
      </c>
      <c r="M189" s="1534">
        <f t="shared" si="84"/>
        <v>0.11325931649653639</v>
      </c>
      <c r="N189" s="1171">
        <v>315852</v>
      </c>
      <c r="O189" s="1171">
        <f>'12'!M5</f>
        <v>52983</v>
      </c>
      <c r="P189" s="1172"/>
      <c r="Q189" s="689">
        <f t="shared" si="44"/>
        <v>368835</v>
      </c>
    </row>
    <row r="190" spans="1:18" s="690" customFormat="1" ht="27" customHeight="1">
      <c r="A190" s="691"/>
      <c r="B190" s="715" t="s">
        <v>362</v>
      </c>
      <c r="C190" s="1171">
        <f t="shared" ref="C190:O190" si="86">SUM(C185:C189)</f>
        <v>497300</v>
      </c>
      <c r="D190" s="1171" t="e">
        <f t="shared" si="86"/>
        <v>#REF!</v>
      </c>
      <c r="E190" s="1171" t="e">
        <f t="shared" si="86"/>
        <v>#REF!</v>
      </c>
      <c r="F190" s="1171" t="e">
        <f t="shared" si="86"/>
        <v>#REF!</v>
      </c>
      <c r="G190" s="1171">
        <f t="shared" si="86"/>
        <v>709967</v>
      </c>
      <c r="H190" s="1171" t="e">
        <f>SUM(H185:H189)</f>
        <v>#REF!</v>
      </c>
      <c r="I190" s="1171" t="e">
        <f>SUM(I185:I189)</f>
        <v>#REF!</v>
      </c>
      <c r="J190" s="1171" t="e">
        <f>SUM(J185:J189)</f>
        <v>#REF!</v>
      </c>
      <c r="K190" s="1171">
        <f>SUM(K185:K189)</f>
        <v>1042363</v>
      </c>
      <c r="L190" s="1695">
        <f>SUM(L185:L189)</f>
        <v>596755</v>
      </c>
      <c r="M190" s="1534">
        <f>L190/K190</f>
        <v>0.57250209380033634</v>
      </c>
      <c r="N190" s="1171">
        <f t="shared" si="86"/>
        <v>901809</v>
      </c>
      <c r="O190" s="1171">
        <f t="shared" si="86"/>
        <v>140554</v>
      </c>
      <c r="P190" s="1172">
        <f>P9+P15+P21+P27+P33+P39+P45+P51+P57+P63+P70+P76+P83+P89+P95 +P102+P109+P115+P122+P128+P134+P147</f>
        <v>0</v>
      </c>
      <c r="Q190" s="689">
        <f t="shared" si="44"/>
        <v>1042363</v>
      </c>
    </row>
    <row r="191" spans="1:18" s="690" customFormat="1" ht="23.1" customHeight="1">
      <c r="A191" s="691"/>
      <c r="B191" s="714" t="s">
        <v>363</v>
      </c>
      <c r="C191" s="1173">
        <f>'10'!C42</f>
        <v>1727104</v>
      </c>
      <c r="D191" s="1173">
        <f>'10'!D42</f>
        <v>95231</v>
      </c>
      <c r="E191" s="1173">
        <f>'10'!E42</f>
        <v>1850775</v>
      </c>
      <c r="F191" s="1173">
        <f>'10'!F42</f>
        <v>11423</v>
      </c>
      <c r="G191" s="1173">
        <f>'10'!G42</f>
        <v>1862198</v>
      </c>
      <c r="H191" s="1173">
        <f>'10'!H42</f>
        <v>-496</v>
      </c>
      <c r="I191" s="1173">
        <f>'10'!I42</f>
        <v>1861702</v>
      </c>
      <c r="J191" s="1173">
        <f>'10'!J42</f>
        <v>-53577</v>
      </c>
      <c r="K191" s="1173">
        <f>'10'!K42</f>
        <v>1808125</v>
      </c>
      <c r="L191" s="1694">
        <f>'10'!L42</f>
        <v>410349</v>
      </c>
      <c r="M191" s="1534">
        <f t="shared" ref="M191:M197" si="87">L191/K191</f>
        <v>0.22694725198755616</v>
      </c>
      <c r="N191" s="1173">
        <f>'10'!N42</f>
        <v>1751006</v>
      </c>
      <c r="O191" s="1173">
        <f>'10'!O42</f>
        <v>57119</v>
      </c>
      <c r="P191" s="1174"/>
      <c r="Q191" s="689">
        <f t="shared" si="44"/>
        <v>1808125</v>
      </c>
      <c r="R191" s="690" t="s">
        <v>1120</v>
      </c>
    </row>
    <row r="192" spans="1:18" s="690" customFormat="1" ht="23.1" customHeight="1">
      <c r="A192" s="691"/>
      <c r="B192" s="714" t="s">
        <v>54</v>
      </c>
      <c r="C192" s="1173">
        <f>'10'!C79</f>
        <v>89480</v>
      </c>
      <c r="D192" s="1173">
        <f>'10'!D79</f>
        <v>31530</v>
      </c>
      <c r="E192" s="1173">
        <f>'10'!E79</f>
        <v>122280</v>
      </c>
      <c r="F192" s="1173">
        <f>'10'!F79</f>
        <v>0</v>
      </c>
      <c r="G192" s="1173">
        <f>'10'!G79</f>
        <v>122280</v>
      </c>
      <c r="H192" s="1173">
        <f>'10'!H79</f>
        <v>0</v>
      </c>
      <c r="I192" s="1173">
        <f>'10'!I79</f>
        <v>122280</v>
      </c>
      <c r="J192" s="1173">
        <f>'10'!J79</f>
        <v>710</v>
      </c>
      <c r="K192" s="1173">
        <f>'10'!K79</f>
        <v>122990</v>
      </c>
      <c r="L192" s="1169">
        <f>'10'!L79</f>
        <v>46911</v>
      </c>
      <c r="M192" s="1534">
        <f t="shared" si="87"/>
        <v>0.38142125376046832</v>
      </c>
      <c r="N192" s="1173">
        <f>'10'!N79</f>
        <v>122990</v>
      </c>
      <c r="O192" s="1175">
        <v>0</v>
      </c>
      <c r="P192" s="1174"/>
      <c r="Q192" s="689">
        <f t="shared" si="44"/>
        <v>122990</v>
      </c>
      <c r="R192" s="690" t="s">
        <v>1120</v>
      </c>
    </row>
    <row r="193" spans="1:35" s="690" customFormat="1" ht="23.1" customHeight="1">
      <c r="A193" s="691"/>
      <c r="B193" s="714" t="s">
        <v>364</v>
      </c>
      <c r="C193" s="1175">
        <f>'12'!C20</f>
        <v>6300</v>
      </c>
      <c r="D193" s="1175">
        <f>'12'!D20</f>
        <v>3560</v>
      </c>
      <c r="E193" s="1175">
        <f>'12'!E20</f>
        <v>9860</v>
      </c>
      <c r="F193" s="1175">
        <f>'12'!F20</f>
        <v>0</v>
      </c>
      <c r="G193" s="1175">
        <f>'12'!G20</f>
        <v>9860</v>
      </c>
      <c r="H193" s="1175">
        <f>'12'!F20</f>
        <v>0</v>
      </c>
      <c r="I193" s="1175">
        <f>'12'!G20</f>
        <v>9860</v>
      </c>
      <c r="J193" s="1175">
        <f>'12'!H20</f>
        <v>0</v>
      </c>
      <c r="K193" s="1175">
        <f>'12'!I20</f>
        <v>9860</v>
      </c>
      <c r="L193" s="1169">
        <v>3970</v>
      </c>
      <c r="M193" s="1534">
        <f t="shared" si="87"/>
        <v>0.4026369168356998</v>
      </c>
      <c r="N193" s="1175">
        <v>0</v>
      </c>
      <c r="O193" s="1175">
        <v>9860</v>
      </c>
      <c r="P193" s="1174"/>
      <c r="Q193" s="689">
        <f t="shared" si="44"/>
        <v>9860</v>
      </c>
    </row>
    <row r="194" spans="1:35" s="707" customFormat="1" ht="27" customHeight="1">
      <c r="A194" s="716"/>
      <c r="B194" s="715" t="s">
        <v>365</v>
      </c>
      <c r="C194" s="1176">
        <f>SUM(C191:C193)</f>
        <v>1822884</v>
      </c>
      <c r="D194" s="1176">
        <f t="shared" ref="D194:O194" si="88">SUM(D191:D193)</f>
        <v>130321</v>
      </c>
      <c r="E194" s="1176">
        <f t="shared" si="88"/>
        <v>1982915</v>
      </c>
      <c r="F194" s="1176">
        <f t="shared" si="88"/>
        <v>11423</v>
      </c>
      <c r="G194" s="1176">
        <f t="shared" si="88"/>
        <v>1994338</v>
      </c>
      <c r="H194" s="1176">
        <f>SUM(H191:H193)</f>
        <v>-496</v>
      </c>
      <c r="I194" s="1176">
        <f>SUM(I191:I193)</f>
        <v>1993842</v>
      </c>
      <c r="J194" s="1176">
        <f>SUM(J191:J193)</f>
        <v>-52867</v>
      </c>
      <c r="K194" s="1176">
        <f>SUM(K191:K193)</f>
        <v>1940975</v>
      </c>
      <c r="L194" s="1176">
        <f>SUM(L191:L193)</f>
        <v>461230</v>
      </c>
      <c r="M194" s="1534">
        <f t="shared" si="87"/>
        <v>0.2376279962390036</v>
      </c>
      <c r="N194" s="1176">
        <f t="shared" si="88"/>
        <v>1873996</v>
      </c>
      <c r="O194" s="1176">
        <f t="shared" si="88"/>
        <v>66979</v>
      </c>
      <c r="P194" s="1177"/>
      <c r="Q194" s="689">
        <f>N194+O194+P194</f>
        <v>1940975</v>
      </c>
    </row>
    <row r="195" spans="1:35" s="690" customFormat="1" ht="34.5" customHeight="1">
      <c r="A195" s="691"/>
      <c r="B195" s="717" t="s">
        <v>472</v>
      </c>
      <c r="C195" s="1178"/>
      <c r="D195" s="1178">
        <v>461054</v>
      </c>
      <c r="E195" s="1178">
        <v>461054</v>
      </c>
      <c r="F195" s="1178"/>
      <c r="G195" s="1178">
        <f>E195+F195</f>
        <v>461054</v>
      </c>
      <c r="H195" s="1178"/>
      <c r="I195" s="1178">
        <f>G195+H195</f>
        <v>461054</v>
      </c>
      <c r="J195" s="1178"/>
      <c r="K195" s="1178">
        <f>I195+J195</f>
        <v>461054</v>
      </c>
      <c r="L195" s="1169">
        <v>459423</v>
      </c>
      <c r="M195" s="1534">
        <f t="shared" si="87"/>
        <v>0.99646245342194195</v>
      </c>
      <c r="N195" s="1178">
        <v>461054</v>
      </c>
      <c r="O195" s="1178">
        <v>0</v>
      </c>
      <c r="P195" s="1174"/>
      <c r="Q195" s="689">
        <f t="shared" si="44"/>
        <v>461054</v>
      </c>
      <c r="R195" s="718"/>
      <c r="S195" s="718"/>
      <c r="T195" s="718"/>
      <c r="U195" s="718"/>
      <c r="V195" s="718"/>
      <c r="W195" s="718"/>
      <c r="X195" s="718"/>
      <c r="Y195" s="718"/>
      <c r="Z195" s="718"/>
      <c r="AA195" s="718"/>
      <c r="AB195" s="718"/>
      <c r="AC195" s="718"/>
      <c r="AD195" s="718"/>
      <c r="AE195" s="718"/>
      <c r="AF195" s="718"/>
      <c r="AG195" s="718"/>
      <c r="AH195" s="718"/>
      <c r="AI195" s="719"/>
    </row>
    <row r="196" spans="1:35" s="690" customFormat="1" ht="23.1" customHeight="1">
      <c r="A196" s="691"/>
      <c r="B196" s="720" t="s">
        <v>473</v>
      </c>
      <c r="C196" s="1178"/>
      <c r="D196" s="1178"/>
      <c r="E196" s="1178">
        <v>794741</v>
      </c>
      <c r="F196" s="1178">
        <v>880000</v>
      </c>
      <c r="G196" s="1178">
        <f>E196+F196</f>
        <v>1674741</v>
      </c>
      <c r="H196" s="1178"/>
      <c r="I196" s="1178">
        <f>G196+H196</f>
        <v>1674741</v>
      </c>
      <c r="J196" s="1178"/>
      <c r="K196" s="1178">
        <f>I196+J196</f>
        <v>1674741</v>
      </c>
      <c r="L196" s="1169">
        <v>1591883</v>
      </c>
      <c r="M196" s="1534">
        <f t="shared" si="87"/>
        <v>0.95052488713180128</v>
      </c>
      <c r="N196" s="1178">
        <v>0</v>
      </c>
      <c r="O196" s="1178">
        <v>1674741</v>
      </c>
      <c r="P196" s="1174"/>
      <c r="Q196" s="689">
        <f t="shared" si="44"/>
        <v>1674741</v>
      </c>
      <c r="R196" s="721"/>
      <c r="S196" s="721"/>
      <c r="T196" s="721"/>
      <c r="U196" s="721"/>
      <c r="V196" s="721"/>
      <c r="W196" s="721"/>
      <c r="X196" s="721"/>
      <c r="Y196" s="721"/>
      <c r="Z196" s="721"/>
      <c r="AA196" s="721"/>
      <c r="AB196" s="721"/>
      <c r="AC196" s="721"/>
      <c r="AD196" s="721"/>
      <c r="AE196" s="721"/>
      <c r="AF196" s="721"/>
      <c r="AG196" s="721"/>
      <c r="AH196" s="721"/>
      <c r="AI196" s="722"/>
    </row>
    <row r="197" spans="1:35" s="707" customFormat="1" ht="27" customHeight="1" thickBot="1">
      <c r="A197" s="723"/>
      <c r="B197" s="724" t="s">
        <v>138</v>
      </c>
      <c r="C197" s="1179">
        <f t="shared" ref="C197:P197" si="89">SUM(C195:C196)</f>
        <v>0</v>
      </c>
      <c r="D197" s="1179">
        <f t="shared" si="89"/>
        <v>461054</v>
      </c>
      <c r="E197" s="1179">
        <f t="shared" si="89"/>
        <v>1255795</v>
      </c>
      <c r="F197" s="1179">
        <f t="shared" si="89"/>
        <v>880000</v>
      </c>
      <c r="G197" s="1179">
        <f t="shared" si="89"/>
        <v>2135795</v>
      </c>
      <c r="H197" s="1179">
        <f>SUM(H195:H196)</f>
        <v>0</v>
      </c>
      <c r="I197" s="1179">
        <f>SUM(I195:I196)</f>
        <v>2135795</v>
      </c>
      <c r="J197" s="1179">
        <f>SUM(J195:J196)</f>
        <v>0</v>
      </c>
      <c r="K197" s="1179">
        <f>SUM(K195:K196)</f>
        <v>2135795</v>
      </c>
      <c r="L197" s="1179">
        <f>SUM(L195:L196)</f>
        <v>2051306</v>
      </c>
      <c r="M197" s="1534">
        <f t="shared" si="87"/>
        <v>0.96044142813331801</v>
      </c>
      <c r="N197" s="1179">
        <f t="shared" si="89"/>
        <v>461054</v>
      </c>
      <c r="O197" s="1179">
        <f t="shared" si="89"/>
        <v>1674741</v>
      </c>
      <c r="P197" s="1180">
        <f t="shared" si="89"/>
        <v>0</v>
      </c>
      <c r="Q197" s="689">
        <f t="shared" si="44"/>
        <v>2135795</v>
      </c>
    </row>
    <row r="198" spans="1:35" s="690" customFormat="1" ht="33.75" customHeight="1" thickBot="1">
      <c r="A198" s="725"/>
      <c r="B198" s="726" t="s">
        <v>133</v>
      </c>
      <c r="C198" s="1181">
        <f t="shared" ref="C198:O198" si="90">C190+C194+C197</f>
        <v>2320184</v>
      </c>
      <c r="D198" s="1181" t="e">
        <f t="shared" si="90"/>
        <v>#REF!</v>
      </c>
      <c r="E198" s="1181" t="e">
        <f t="shared" si="90"/>
        <v>#REF!</v>
      </c>
      <c r="F198" s="1181" t="e">
        <f t="shared" si="90"/>
        <v>#REF!</v>
      </c>
      <c r="G198" s="1181">
        <f t="shared" ref="G198:N198" si="91">G190+G194+G197</f>
        <v>4840100</v>
      </c>
      <c r="H198" s="1181" t="e">
        <f t="shared" si="91"/>
        <v>#REF!</v>
      </c>
      <c r="I198" s="1181" t="e">
        <f t="shared" si="91"/>
        <v>#REF!</v>
      </c>
      <c r="J198" s="1181" t="e">
        <f t="shared" si="91"/>
        <v>#REF!</v>
      </c>
      <c r="K198" s="1181">
        <f t="shared" si="91"/>
        <v>5119133</v>
      </c>
      <c r="L198" s="1181">
        <f>L190+L194+L197</f>
        <v>3109291</v>
      </c>
      <c r="M198" s="1535">
        <f>L198/K198</f>
        <v>0.6073862507576967</v>
      </c>
      <c r="N198" s="1181">
        <f t="shared" si="91"/>
        <v>3236859</v>
      </c>
      <c r="O198" s="1181">
        <f t="shared" si="90"/>
        <v>1882274</v>
      </c>
      <c r="P198" s="1182"/>
      <c r="Q198" s="689">
        <f>N198+O198+P198</f>
        <v>5119133</v>
      </c>
    </row>
    <row r="199" spans="1:35" s="731" customFormat="1" ht="17.25" customHeight="1">
      <c r="A199" s="727"/>
      <c r="B199" s="728"/>
      <c r="C199" s="729"/>
      <c r="D199" s="729"/>
      <c r="E199" s="729"/>
      <c r="F199" s="729"/>
      <c r="G199" s="729"/>
      <c r="H199" s="729"/>
      <c r="I199" s="729"/>
      <c r="J199" s="729"/>
      <c r="K199" s="729"/>
      <c r="L199" s="729"/>
      <c r="M199" s="729"/>
      <c r="N199" s="730" t="s">
        <v>98</v>
      </c>
      <c r="Q199" s="732"/>
    </row>
    <row r="200" spans="1:35" ht="18.75" customHeight="1">
      <c r="C200" s="735">
        <f>'5'!C160</f>
        <v>4251444</v>
      </c>
      <c r="D200" s="735">
        <f>'5'!D160</f>
        <v>636640</v>
      </c>
      <c r="E200" s="735">
        <f>'5'!E160</f>
        <v>5864828</v>
      </c>
      <c r="F200" s="735">
        <f>'5'!F160</f>
        <v>978050</v>
      </c>
      <c r="G200" s="735">
        <f>'5'!G160</f>
        <v>6842878</v>
      </c>
      <c r="N200" s="735" t="s">
        <v>98</v>
      </c>
      <c r="O200" s="735" t="s">
        <v>98</v>
      </c>
    </row>
    <row r="201" spans="1:35">
      <c r="C201" s="735">
        <f>C200-C198</f>
        <v>1931260</v>
      </c>
      <c r="D201" s="735" t="e">
        <f>D200-D198</f>
        <v>#REF!</v>
      </c>
      <c r="E201" s="735" t="e">
        <f>E200-E198</f>
        <v>#REF!</v>
      </c>
      <c r="F201" s="735" t="e">
        <f t="shared" ref="F201:G201" si="92">F200-F198</f>
        <v>#REF!</v>
      </c>
      <c r="G201" s="735">
        <f t="shared" si="92"/>
        <v>2002778</v>
      </c>
    </row>
    <row r="203" spans="1:35">
      <c r="G203" s="735" t="s">
        <v>98</v>
      </c>
    </row>
  </sheetData>
  <protectedRanges>
    <protectedRange sqref="O145:O146 C142:M142 C147:P147 C143:L146" name="Tartomány11_1"/>
    <protectedRange sqref="C148:E152 C154:E158 C160:E164 C166:E170 C172:E176 C178:E182 C135:E139 G138:L139 G151:J152 G157:J158 G163:J164 G169:J170 G175:J176 G181:J182 C140:L140 C153:L153 C159:L159 C165:L165 C171:L171 C177:L177 C183:L183 N140 N153 N159 N165 N171 N177 N183" name="Tartomány11_1_1"/>
  </protectedRanges>
  <mergeCells count="39">
    <mergeCell ref="A1:P1"/>
    <mergeCell ref="C129:P129"/>
    <mergeCell ref="C90:P90"/>
    <mergeCell ref="C96:P96"/>
    <mergeCell ref="C77:P77"/>
    <mergeCell ref="C78:P78"/>
    <mergeCell ref="C65:P65"/>
    <mergeCell ref="C71:P71"/>
    <mergeCell ref="C97:P97"/>
    <mergeCell ref="C84:P84"/>
    <mergeCell ref="B3:P3"/>
    <mergeCell ref="B103:P103"/>
    <mergeCell ref="C110:P110"/>
    <mergeCell ref="C4:P4"/>
    <mergeCell ref="C40:P40"/>
    <mergeCell ref="C46:P46"/>
    <mergeCell ref="A184:B184"/>
    <mergeCell ref="C184:P184"/>
    <mergeCell ref="B148:P148"/>
    <mergeCell ref="B154:P154"/>
    <mergeCell ref="B160:P160"/>
    <mergeCell ref="B166:P166"/>
    <mergeCell ref="B172:P172"/>
    <mergeCell ref="B178:P178"/>
    <mergeCell ref="C52:P52"/>
    <mergeCell ref="C58:P58"/>
    <mergeCell ref="C104:P104"/>
    <mergeCell ref="B141:P141"/>
    <mergeCell ref="C142:P142"/>
    <mergeCell ref="C116:P116"/>
    <mergeCell ref="C117:P117"/>
    <mergeCell ref="C123:P123"/>
    <mergeCell ref="B135:P135"/>
    <mergeCell ref="B64:P64"/>
    <mergeCell ref="C10:P10"/>
    <mergeCell ref="C16:P16"/>
    <mergeCell ref="C22:P22"/>
    <mergeCell ref="C28:P28"/>
    <mergeCell ref="C34:P34"/>
  </mergeCells>
  <phoneticPr fontId="0" type="noConversion"/>
  <printOptions horizontalCentered="1"/>
  <pageMargins left="0.47244094488188981" right="0.47244094488188981" top="0.70866141732283472" bottom="0.70866141732283472" header="0.39370078740157483" footer="0.31496062992125984"/>
  <pageSetup paperSize="9" scale="52" fitToHeight="3" orientation="portrait" r:id="rId1"/>
  <headerFooter alignWithMargins="0">
    <oddHeader>&amp;L&amp;"Arial,Dőlt"&amp;11&amp;U 8. melléklet a 15/2015. (V.29.) önkormányzati rendelethez</oddHeader>
    <oddFooter>&amp;C&amp;11 NagyNagykőrös Város Önkormányzat 2014. évi zárszámadási rendelete</oddFooter>
  </headerFooter>
  <rowBreaks count="3" manualBreakCount="3">
    <brk id="51" max="7" man="1"/>
    <brk id="102" max="9" man="1"/>
    <brk id="153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</sheetPr>
  <dimension ref="A1:DI106"/>
  <sheetViews>
    <sheetView view="pageLayout" zoomScaleNormal="100" zoomScaleSheetLayoutView="100" workbookViewId="0">
      <selection activeCell="B8" sqref="B8"/>
    </sheetView>
  </sheetViews>
  <sheetFormatPr defaultColWidth="12.7109375" defaultRowHeight="15"/>
  <cols>
    <col min="1" max="1" width="6.85546875" style="102" customWidth="1"/>
    <col min="2" max="2" width="61.42578125" style="133" customWidth="1"/>
    <col min="3" max="3" width="12.7109375" style="131" customWidth="1"/>
    <col min="4" max="8" width="12.7109375" style="131" hidden="1" customWidth="1"/>
    <col min="9" max="9" width="14.42578125" style="131" hidden="1" customWidth="1"/>
    <col min="10" max="10" width="12.7109375" style="131" hidden="1" customWidth="1"/>
    <col min="11" max="11" width="14.42578125" style="131" bestFit="1" customWidth="1"/>
    <col min="12" max="12" width="15.7109375" style="131" bestFit="1" customWidth="1"/>
    <col min="13" max="13" width="19.7109375" style="131" bestFit="1" customWidth="1"/>
    <col min="14" max="14" width="12.7109375" style="132" customWidth="1"/>
    <col min="15" max="15" width="12.140625" style="132" customWidth="1"/>
    <col min="16" max="16" width="11.42578125" style="132" customWidth="1"/>
    <col min="17" max="17" width="12" style="95" customWidth="1"/>
    <col min="18" max="16384" width="12.7109375" style="95"/>
  </cols>
  <sheetData>
    <row r="1" spans="1:17" s="121" customFormat="1" ht="29.25" customHeight="1" thickBot="1">
      <c r="A1" s="1892" t="s">
        <v>445</v>
      </c>
      <c r="B1" s="1892"/>
      <c r="C1" s="1893"/>
      <c r="D1" s="1893"/>
      <c r="E1" s="1893"/>
      <c r="F1" s="1893"/>
      <c r="G1" s="1893"/>
      <c r="H1" s="1893"/>
      <c r="I1" s="1893"/>
      <c r="J1" s="1893"/>
      <c r="K1" s="1893"/>
      <c r="L1" s="1893"/>
      <c r="M1" s="1893"/>
      <c r="N1" s="1893"/>
      <c r="O1" s="1893"/>
      <c r="P1" s="1893"/>
    </row>
    <row r="2" spans="1:17" s="125" customFormat="1" ht="48.75" customHeight="1" thickBot="1">
      <c r="A2" s="119" t="s">
        <v>220</v>
      </c>
      <c r="B2" s="120" t="s">
        <v>76</v>
      </c>
      <c r="C2" s="122" t="s">
        <v>284</v>
      </c>
      <c r="D2" s="675" t="s">
        <v>151</v>
      </c>
      <c r="E2" s="122" t="s">
        <v>869</v>
      </c>
      <c r="F2" s="122" t="s">
        <v>870</v>
      </c>
      <c r="G2" s="122" t="s">
        <v>912</v>
      </c>
      <c r="H2" s="122" t="s">
        <v>870</v>
      </c>
      <c r="I2" s="122" t="s">
        <v>912</v>
      </c>
      <c r="J2" s="122" t="s">
        <v>863</v>
      </c>
      <c r="K2" s="122" t="s">
        <v>960</v>
      </c>
      <c r="L2" s="122" t="s">
        <v>954</v>
      </c>
      <c r="M2" s="1484" t="s">
        <v>955</v>
      </c>
      <c r="N2" s="123" t="s">
        <v>318</v>
      </c>
      <c r="O2" s="123" t="s">
        <v>319</v>
      </c>
      <c r="P2" s="124" t="s">
        <v>302</v>
      </c>
    </row>
    <row r="3" spans="1:17" s="126" customFormat="1" ht="33" customHeight="1" thickBot="1">
      <c r="A3" s="1280" t="s">
        <v>272</v>
      </c>
      <c r="B3" s="1279" t="s">
        <v>77</v>
      </c>
      <c r="C3" s="1894"/>
      <c r="D3" s="1895"/>
      <c r="E3" s="1895"/>
      <c r="F3" s="1895"/>
      <c r="G3" s="1895"/>
      <c r="H3" s="1895"/>
      <c r="I3" s="1895"/>
      <c r="J3" s="1895"/>
      <c r="K3" s="1895"/>
      <c r="L3" s="1895"/>
      <c r="M3" s="1895"/>
      <c r="N3" s="1896"/>
      <c r="O3" s="1896"/>
      <c r="P3" s="1897"/>
    </row>
    <row r="4" spans="1:17" s="520" customFormat="1" ht="23.1" customHeight="1">
      <c r="A4" s="742" t="s">
        <v>60</v>
      </c>
      <c r="B4" s="743" t="s">
        <v>82</v>
      </c>
      <c r="C4" s="1870"/>
      <c r="D4" s="1871"/>
      <c r="E4" s="1871"/>
      <c r="F4" s="1871"/>
      <c r="G4" s="1871"/>
      <c r="H4" s="1871"/>
      <c r="I4" s="1871"/>
      <c r="J4" s="1871"/>
      <c r="K4" s="1871"/>
      <c r="L4" s="1871"/>
      <c r="M4" s="1871"/>
      <c r="N4" s="1872"/>
      <c r="O4" s="1872"/>
      <c r="P4" s="1873"/>
    </row>
    <row r="5" spans="1:17" s="520" customFormat="1" ht="21" customHeight="1">
      <c r="A5" s="929"/>
      <c r="B5" s="918" t="s">
        <v>40</v>
      </c>
      <c r="C5" s="930">
        <v>5800</v>
      </c>
      <c r="D5" s="930">
        <v>30</v>
      </c>
      <c r="E5" s="930">
        <f>C5+D5</f>
        <v>5830</v>
      </c>
      <c r="F5" s="930"/>
      <c r="G5" s="930">
        <f>E5+F5</f>
        <v>5830</v>
      </c>
      <c r="H5" s="930"/>
      <c r="I5" s="930">
        <f>G5+H5</f>
        <v>5830</v>
      </c>
      <c r="J5" s="930">
        <v>668</v>
      </c>
      <c r="K5" s="930">
        <f>I5+J5</f>
        <v>6498</v>
      </c>
      <c r="L5" s="930">
        <f>4266+892+507</f>
        <v>5665</v>
      </c>
      <c r="M5" s="1551">
        <f>L5/K5</f>
        <v>0.87180670975684826</v>
      </c>
      <c r="N5" s="930">
        <v>0</v>
      </c>
      <c r="O5" s="930">
        <v>6498</v>
      </c>
      <c r="P5" s="931">
        <v>0</v>
      </c>
      <c r="Q5" s="744">
        <f>N5+O5+P5</f>
        <v>6498</v>
      </c>
    </row>
    <row r="6" spans="1:17" s="520" customFormat="1" ht="21" customHeight="1">
      <c r="A6" s="929"/>
      <c r="B6" s="918" t="s">
        <v>303</v>
      </c>
      <c r="C6" s="930">
        <v>1700</v>
      </c>
      <c r="D6" s="930">
        <v>8</v>
      </c>
      <c r="E6" s="930">
        <f>C6+D6</f>
        <v>1708</v>
      </c>
      <c r="F6" s="930"/>
      <c r="G6" s="930">
        <f>E6+F6</f>
        <v>1708</v>
      </c>
      <c r="H6" s="930"/>
      <c r="I6" s="930">
        <f>G6+H6</f>
        <v>1708</v>
      </c>
      <c r="J6" s="930"/>
      <c r="K6" s="930">
        <f>I6+J6</f>
        <v>1708</v>
      </c>
      <c r="L6" s="930">
        <f>1152+245+170</f>
        <v>1567</v>
      </c>
      <c r="M6" s="1551">
        <f t="shared" ref="M6:M10" si="0">L6/K6</f>
        <v>0.91744730679156905</v>
      </c>
      <c r="N6" s="930">
        <v>0</v>
      </c>
      <c r="O6" s="930">
        <f>E6</f>
        <v>1708</v>
      </c>
      <c r="P6" s="931">
        <v>0</v>
      </c>
      <c r="Q6" s="744">
        <f t="shared" ref="Q6:Q65" si="1">N6+O6+P6</f>
        <v>1708</v>
      </c>
    </row>
    <row r="7" spans="1:17" s="520" customFormat="1" ht="21" customHeight="1">
      <c r="A7" s="929"/>
      <c r="B7" s="918" t="s">
        <v>132</v>
      </c>
      <c r="C7" s="930">
        <v>500</v>
      </c>
      <c r="D7" s="930">
        <v>846</v>
      </c>
      <c r="E7" s="930">
        <f>C7+D7</f>
        <v>1346</v>
      </c>
      <c r="F7" s="930"/>
      <c r="G7" s="930">
        <f>E7+F7</f>
        <v>1346</v>
      </c>
      <c r="H7" s="930"/>
      <c r="I7" s="930">
        <f>G7+H7</f>
        <v>1346</v>
      </c>
      <c r="J7" s="930"/>
      <c r="K7" s="930">
        <f>I7+J7</f>
        <v>1346</v>
      </c>
      <c r="L7" s="930">
        <f>5+30+1</f>
        <v>36</v>
      </c>
      <c r="M7" s="1551">
        <f t="shared" si="0"/>
        <v>2.6745913818722138E-2</v>
      </c>
      <c r="N7" s="930">
        <v>0</v>
      </c>
      <c r="O7" s="930">
        <f>500+846</f>
        <v>1346</v>
      </c>
      <c r="P7" s="931">
        <v>0</v>
      </c>
      <c r="Q7" s="744">
        <f t="shared" si="1"/>
        <v>1346</v>
      </c>
    </row>
    <row r="8" spans="1:17" s="520" customFormat="1" ht="21" customHeight="1">
      <c r="A8" s="929"/>
      <c r="B8" s="918" t="s">
        <v>42</v>
      </c>
      <c r="C8" s="930">
        <v>0</v>
      </c>
      <c r="D8" s="930"/>
      <c r="E8" s="930">
        <f>C8+D8</f>
        <v>0</v>
      </c>
      <c r="F8" s="930"/>
      <c r="G8" s="930">
        <f>E8+F8</f>
        <v>0</v>
      </c>
      <c r="H8" s="930"/>
      <c r="I8" s="930">
        <f>G8+H8</f>
        <v>0</v>
      </c>
      <c r="J8" s="930"/>
      <c r="K8" s="930">
        <f>I8+J8</f>
        <v>0</v>
      </c>
      <c r="L8" s="930"/>
      <c r="M8" s="1551"/>
      <c r="N8" s="930">
        <v>0</v>
      </c>
      <c r="O8" s="930">
        <v>0</v>
      </c>
      <c r="P8" s="931">
        <v>0</v>
      </c>
      <c r="Q8" s="744">
        <f t="shared" si="1"/>
        <v>0</v>
      </c>
    </row>
    <row r="9" spans="1:17" s="520" customFormat="1" ht="21" customHeight="1">
      <c r="A9" s="929"/>
      <c r="B9" s="918" t="s">
        <v>361</v>
      </c>
      <c r="C9" s="930">
        <v>200</v>
      </c>
      <c r="D9" s="930">
        <f>-200</f>
        <v>-200</v>
      </c>
      <c r="E9" s="930">
        <f>C9+D9</f>
        <v>0</v>
      </c>
      <c r="F9" s="930"/>
      <c r="G9" s="930">
        <f>E9+F9</f>
        <v>0</v>
      </c>
      <c r="H9" s="930"/>
      <c r="I9" s="930">
        <f>G9+H9</f>
        <v>0</v>
      </c>
      <c r="J9" s="930"/>
      <c r="K9" s="930">
        <f>I9+J9</f>
        <v>0</v>
      </c>
      <c r="L9" s="930"/>
      <c r="M9" s="1551"/>
      <c r="N9" s="930">
        <v>0</v>
      </c>
      <c r="O9" s="930">
        <v>0</v>
      </c>
      <c r="P9" s="931">
        <v>0</v>
      </c>
      <c r="Q9" s="744">
        <f t="shared" si="1"/>
        <v>0</v>
      </c>
    </row>
    <row r="10" spans="1:17" s="522" customFormat="1" ht="21" customHeight="1">
      <c r="A10" s="932"/>
      <c r="B10" s="919" t="s">
        <v>362</v>
      </c>
      <c r="C10" s="933">
        <f t="shared" ref="C10:P10" si="2">SUM(C5:C9)</f>
        <v>8200</v>
      </c>
      <c r="D10" s="933">
        <f t="shared" si="2"/>
        <v>684</v>
      </c>
      <c r="E10" s="933">
        <f t="shared" si="2"/>
        <v>8884</v>
      </c>
      <c r="F10" s="933">
        <f t="shared" si="2"/>
        <v>0</v>
      </c>
      <c r="G10" s="933">
        <f t="shared" si="2"/>
        <v>8884</v>
      </c>
      <c r="H10" s="933">
        <f>SUM(H5:H9)</f>
        <v>0</v>
      </c>
      <c r="I10" s="933">
        <f>SUM(I5:I9)</f>
        <v>8884</v>
      </c>
      <c r="J10" s="933">
        <f>SUM(J5:J9)</f>
        <v>668</v>
      </c>
      <c r="K10" s="933">
        <f>SUM(K5:K9)</f>
        <v>9552</v>
      </c>
      <c r="L10" s="933">
        <f>SUM(L5:L9)</f>
        <v>7268</v>
      </c>
      <c r="M10" s="1552">
        <f t="shared" si="0"/>
        <v>0.76088777219430481</v>
      </c>
      <c r="N10" s="933">
        <f t="shared" si="2"/>
        <v>0</v>
      </c>
      <c r="O10" s="933">
        <f t="shared" si="2"/>
        <v>9552</v>
      </c>
      <c r="P10" s="934">
        <f t="shared" si="2"/>
        <v>0</v>
      </c>
      <c r="Q10" s="745">
        <f t="shared" si="1"/>
        <v>9552</v>
      </c>
    </row>
    <row r="11" spans="1:17" s="520" customFormat="1" ht="23.1" customHeight="1">
      <c r="A11" s="935" t="s">
        <v>61</v>
      </c>
      <c r="B11" s="920" t="s">
        <v>84</v>
      </c>
      <c r="C11" s="1888"/>
      <c r="D11" s="1889"/>
      <c r="E11" s="1889"/>
      <c r="F11" s="1889"/>
      <c r="G11" s="1889"/>
      <c r="H11" s="1889"/>
      <c r="I11" s="1889"/>
      <c r="J11" s="1889"/>
      <c r="K11" s="1889"/>
      <c r="L11" s="1889"/>
      <c r="M11" s="1889"/>
      <c r="N11" s="1890"/>
      <c r="O11" s="1890"/>
      <c r="P11" s="1891"/>
      <c r="Q11" s="744"/>
    </row>
    <row r="12" spans="1:17" s="520" customFormat="1" ht="21" customHeight="1">
      <c r="A12" s="929"/>
      <c r="B12" s="918" t="s">
        <v>40</v>
      </c>
      <c r="C12" s="930">
        <v>0</v>
      </c>
      <c r="D12" s="930"/>
      <c r="E12" s="930">
        <f>C12+D12</f>
        <v>0</v>
      </c>
      <c r="F12" s="930"/>
      <c r="G12" s="930">
        <f>E12+F12</f>
        <v>0</v>
      </c>
      <c r="H12" s="930"/>
      <c r="I12" s="930">
        <f>G12+H12</f>
        <v>0</v>
      </c>
      <c r="J12" s="930"/>
      <c r="K12" s="930">
        <f>I12+J12</f>
        <v>0</v>
      </c>
      <c r="L12" s="930"/>
      <c r="M12" s="1551"/>
      <c r="N12" s="930">
        <v>0</v>
      </c>
      <c r="O12" s="930">
        <v>0</v>
      </c>
      <c r="P12" s="931">
        <v>0</v>
      </c>
      <c r="Q12" s="744">
        <f t="shared" si="1"/>
        <v>0</v>
      </c>
    </row>
    <row r="13" spans="1:17" s="520" customFormat="1" ht="21" customHeight="1">
      <c r="A13" s="929"/>
      <c r="B13" s="918" t="s">
        <v>303</v>
      </c>
      <c r="C13" s="930">
        <v>0</v>
      </c>
      <c r="D13" s="930"/>
      <c r="E13" s="930">
        <f>C13+D13</f>
        <v>0</v>
      </c>
      <c r="F13" s="930"/>
      <c r="G13" s="930">
        <f>E13+F13</f>
        <v>0</v>
      </c>
      <c r="H13" s="930"/>
      <c r="I13" s="930">
        <f>G13+H13</f>
        <v>0</v>
      </c>
      <c r="J13" s="930"/>
      <c r="K13" s="930">
        <f>I13+J13</f>
        <v>0</v>
      </c>
      <c r="L13" s="930"/>
      <c r="M13" s="1551"/>
      <c r="N13" s="930">
        <v>0</v>
      </c>
      <c r="O13" s="930">
        <v>0</v>
      </c>
      <c r="P13" s="931">
        <v>0</v>
      </c>
      <c r="Q13" s="744">
        <f t="shared" si="1"/>
        <v>0</v>
      </c>
    </row>
    <row r="14" spans="1:17" s="520" customFormat="1" ht="21" customHeight="1">
      <c r="A14" s="929"/>
      <c r="B14" s="918" t="s">
        <v>132</v>
      </c>
      <c r="C14" s="930">
        <v>1000</v>
      </c>
      <c r="D14" s="930">
        <v>3030</v>
      </c>
      <c r="E14" s="930">
        <f>C14+D14</f>
        <v>4030</v>
      </c>
      <c r="F14" s="930"/>
      <c r="G14" s="930">
        <f>E14+F14</f>
        <v>4030</v>
      </c>
      <c r="H14" s="930"/>
      <c r="I14" s="930">
        <f>G14+H14</f>
        <v>4030</v>
      </c>
      <c r="J14" s="930">
        <v>-1000</v>
      </c>
      <c r="K14" s="930">
        <f>I14+J14</f>
        <v>3030</v>
      </c>
      <c r="L14" s="930">
        <v>40</v>
      </c>
      <c r="M14" s="1551">
        <f t="shared" ref="M14:M17" si="3">L14/K14</f>
        <v>1.3201320132013201E-2</v>
      </c>
      <c r="N14" s="930">
        <v>3030</v>
      </c>
      <c r="O14" s="930">
        <v>0</v>
      </c>
      <c r="P14" s="931">
        <v>0</v>
      </c>
      <c r="Q14" s="744">
        <f t="shared" si="1"/>
        <v>3030</v>
      </c>
    </row>
    <row r="15" spans="1:17" s="520" customFormat="1" ht="21" customHeight="1">
      <c r="A15" s="929"/>
      <c r="B15" s="918" t="s">
        <v>42</v>
      </c>
      <c r="C15" s="930">
        <v>0</v>
      </c>
      <c r="D15" s="930"/>
      <c r="E15" s="930">
        <f>C15+D15</f>
        <v>0</v>
      </c>
      <c r="F15" s="930"/>
      <c r="G15" s="930">
        <f>E15+F15</f>
        <v>0</v>
      </c>
      <c r="H15" s="930"/>
      <c r="I15" s="930">
        <f>G15+H15</f>
        <v>0</v>
      </c>
      <c r="J15" s="930"/>
      <c r="K15" s="930">
        <f>I15+J15</f>
        <v>0</v>
      </c>
      <c r="L15" s="930"/>
      <c r="M15" s="1551"/>
      <c r="N15" s="930">
        <v>0</v>
      </c>
      <c r="O15" s="930">
        <v>0</v>
      </c>
      <c r="P15" s="931">
        <v>0</v>
      </c>
      <c r="Q15" s="744">
        <f t="shared" si="1"/>
        <v>0</v>
      </c>
    </row>
    <row r="16" spans="1:17" s="520" customFormat="1" ht="21" customHeight="1">
      <c r="A16" s="929"/>
      <c r="B16" s="918" t="s">
        <v>361</v>
      </c>
      <c r="C16" s="930">
        <v>0</v>
      </c>
      <c r="D16" s="930"/>
      <c r="E16" s="930">
        <f>C16+D16</f>
        <v>0</v>
      </c>
      <c r="F16" s="930"/>
      <c r="G16" s="930">
        <f>E16+F16</f>
        <v>0</v>
      </c>
      <c r="H16" s="930"/>
      <c r="I16" s="930">
        <f>G16+H16</f>
        <v>0</v>
      </c>
      <c r="J16" s="930"/>
      <c r="K16" s="930">
        <f>I16+J16</f>
        <v>0</v>
      </c>
      <c r="L16" s="930"/>
      <c r="M16" s="1551"/>
      <c r="N16" s="930">
        <v>0</v>
      </c>
      <c r="O16" s="930">
        <v>0</v>
      </c>
      <c r="P16" s="931">
        <v>0</v>
      </c>
      <c r="Q16" s="744">
        <f t="shared" si="1"/>
        <v>0</v>
      </c>
    </row>
    <row r="17" spans="1:17" s="522" customFormat="1" ht="21" customHeight="1" thickBot="1">
      <c r="A17" s="936"/>
      <c r="B17" s="921" t="s">
        <v>362</v>
      </c>
      <c r="C17" s="937">
        <f t="shared" ref="C17:P17" si="4">SUM(C12:C16)</f>
        <v>1000</v>
      </c>
      <c r="D17" s="937">
        <f t="shared" si="4"/>
        <v>3030</v>
      </c>
      <c r="E17" s="937">
        <f t="shared" si="4"/>
        <v>4030</v>
      </c>
      <c r="F17" s="937">
        <f t="shared" si="4"/>
        <v>0</v>
      </c>
      <c r="G17" s="937">
        <f t="shared" si="4"/>
        <v>4030</v>
      </c>
      <c r="H17" s="937">
        <f>SUM(H12:H16)</f>
        <v>0</v>
      </c>
      <c r="I17" s="937">
        <f>SUM(I12:I16)</f>
        <v>4030</v>
      </c>
      <c r="J17" s="937">
        <f>SUM(J12:J16)</f>
        <v>-1000</v>
      </c>
      <c r="K17" s="937">
        <f>SUM(K12:K16)</f>
        <v>3030</v>
      </c>
      <c r="L17" s="937">
        <f>SUM(L12:L16)</f>
        <v>40</v>
      </c>
      <c r="M17" s="1552">
        <f t="shared" si="3"/>
        <v>1.3201320132013201E-2</v>
      </c>
      <c r="N17" s="937">
        <f t="shared" si="4"/>
        <v>3030</v>
      </c>
      <c r="O17" s="937">
        <f t="shared" si="4"/>
        <v>0</v>
      </c>
      <c r="P17" s="938">
        <f t="shared" si="4"/>
        <v>0</v>
      </c>
      <c r="Q17" s="745">
        <f t="shared" si="1"/>
        <v>3030</v>
      </c>
    </row>
    <row r="18" spans="1:17" s="523" customFormat="1" ht="33" customHeight="1" thickBot="1">
      <c r="A18" s="939" t="s">
        <v>273</v>
      </c>
      <c r="B18" s="922" t="s">
        <v>88</v>
      </c>
      <c r="C18" s="1882"/>
      <c r="D18" s="1883"/>
      <c r="E18" s="1883"/>
      <c r="F18" s="1883"/>
      <c r="G18" s="1883"/>
      <c r="H18" s="1883"/>
      <c r="I18" s="1883"/>
      <c r="J18" s="1883"/>
      <c r="K18" s="1883"/>
      <c r="L18" s="1883"/>
      <c r="M18" s="1883"/>
      <c r="N18" s="1876"/>
      <c r="O18" s="1876"/>
      <c r="P18" s="1877"/>
      <c r="Q18" s="744"/>
    </row>
    <row r="19" spans="1:17" s="520" customFormat="1" ht="23.1" customHeight="1">
      <c r="A19" s="940" t="s">
        <v>60</v>
      </c>
      <c r="B19" s="923" t="s">
        <v>90</v>
      </c>
      <c r="C19" s="1884"/>
      <c r="D19" s="1885"/>
      <c r="E19" s="1885"/>
      <c r="F19" s="1885"/>
      <c r="G19" s="1885"/>
      <c r="H19" s="1885"/>
      <c r="I19" s="1885"/>
      <c r="J19" s="1885"/>
      <c r="K19" s="1885"/>
      <c r="L19" s="1885"/>
      <c r="M19" s="1885"/>
      <c r="N19" s="1886"/>
      <c r="O19" s="1886"/>
      <c r="P19" s="1887"/>
      <c r="Q19" s="744"/>
    </row>
    <row r="20" spans="1:17" s="520" customFormat="1" ht="21" customHeight="1">
      <c r="A20" s="929"/>
      <c r="B20" s="918" t="s">
        <v>40</v>
      </c>
      <c r="C20" s="930">
        <v>1600</v>
      </c>
      <c r="D20" s="930"/>
      <c r="E20" s="930">
        <f>C20+D20</f>
        <v>1600</v>
      </c>
      <c r="F20" s="930"/>
      <c r="G20" s="930">
        <f>E20+F20</f>
        <v>1600</v>
      </c>
      <c r="H20" s="930"/>
      <c r="I20" s="930">
        <f>G20+H20</f>
        <v>1600</v>
      </c>
      <c r="J20" s="930"/>
      <c r="K20" s="930">
        <f>I20+J20</f>
        <v>1600</v>
      </c>
      <c r="L20" s="1620">
        <v>0</v>
      </c>
      <c r="M20" s="1551">
        <f>L20/K20</f>
        <v>0</v>
      </c>
      <c r="N20" s="930">
        <v>1600</v>
      </c>
      <c r="O20" s="930">
        <v>0</v>
      </c>
      <c r="P20" s="931">
        <v>0</v>
      </c>
      <c r="Q20" s="744">
        <f t="shared" si="1"/>
        <v>1600</v>
      </c>
    </row>
    <row r="21" spans="1:17" s="520" customFormat="1" ht="21" customHeight="1">
      <c r="A21" s="929"/>
      <c r="B21" s="918" t="s">
        <v>303</v>
      </c>
      <c r="C21" s="930">
        <v>400</v>
      </c>
      <c r="D21" s="930"/>
      <c r="E21" s="930">
        <f>C21+D21</f>
        <v>400</v>
      </c>
      <c r="F21" s="930"/>
      <c r="G21" s="930">
        <f>E21+F21</f>
        <v>400</v>
      </c>
      <c r="H21" s="930"/>
      <c r="I21" s="930">
        <f>G21+H21</f>
        <v>400</v>
      </c>
      <c r="J21" s="930">
        <v>-75</v>
      </c>
      <c r="K21" s="930">
        <f>I21+J21</f>
        <v>325</v>
      </c>
      <c r="L21" s="1620">
        <v>0</v>
      </c>
      <c r="M21" s="1551">
        <f t="shared" ref="M21:M25" si="5">L21/K21</f>
        <v>0</v>
      </c>
      <c r="N21" s="930">
        <v>325</v>
      </c>
      <c r="O21" s="930">
        <v>0</v>
      </c>
      <c r="P21" s="931">
        <v>0</v>
      </c>
      <c r="Q21" s="744">
        <f t="shared" si="1"/>
        <v>325</v>
      </c>
    </row>
    <row r="22" spans="1:17" s="520" customFormat="1" ht="21" customHeight="1">
      <c r="A22" s="929"/>
      <c r="B22" s="918" t="s">
        <v>132</v>
      </c>
      <c r="C22" s="930">
        <v>0</v>
      </c>
      <c r="D22" s="930"/>
      <c r="E22" s="930">
        <f>C22+D22</f>
        <v>0</v>
      </c>
      <c r="F22" s="930"/>
      <c r="G22" s="930">
        <f>E22+F22</f>
        <v>0</v>
      </c>
      <c r="H22" s="930"/>
      <c r="I22" s="930">
        <f>G22+H22</f>
        <v>0</v>
      </c>
      <c r="J22" s="930">
        <v>75</v>
      </c>
      <c r="K22" s="930">
        <f>I22+J22</f>
        <v>75</v>
      </c>
      <c r="L22" s="930">
        <v>74</v>
      </c>
      <c r="M22" s="1551">
        <f t="shared" si="5"/>
        <v>0.98666666666666669</v>
      </c>
      <c r="N22" s="930">
        <v>75</v>
      </c>
      <c r="O22" s="930">
        <v>0</v>
      </c>
      <c r="P22" s="931">
        <v>0</v>
      </c>
      <c r="Q22" s="744">
        <f t="shared" si="1"/>
        <v>75</v>
      </c>
    </row>
    <row r="23" spans="1:17" s="520" customFormat="1" ht="21" customHeight="1">
      <c r="A23" s="929"/>
      <c r="B23" s="918" t="s">
        <v>42</v>
      </c>
      <c r="C23" s="930">
        <v>0</v>
      </c>
      <c r="D23" s="930"/>
      <c r="E23" s="930">
        <f>C23+D23</f>
        <v>0</v>
      </c>
      <c r="F23" s="930"/>
      <c r="G23" s="930">
        <f>E23+F23</f>
        <v>0</v>
      </c>
      <c r="H23" s="930"/>
      <c r="I23" s="930">
        <f>G23+H23</f>
        <v>0</v>
      </c>
      <c r="J23" s="930"/>
      <c r="K23" s="930">
        <f>I23+J23</f>
        <v>0</v>
      </c>
      <c r="L23" s="930"/>
      <c r="M23" s="1551"/>
      <c r="N23" s="930">
        <v>0</v>
      </c>
      <c r="O23" s="930">
        <v>0</v>
      </c>
      <c r="P23" s="931">
        <v>0</v>
      </c>
      <c r="Q23" s="744">
        <f t="shared" si="1"/>
        <v>0</v>
      </c>
    </row>
    <row r="24" spans="1:17" s="520" customFormat="1" ht="21" customHeight="1">
      <c r="A24" s="929"/>
      <c r="B24" s="918" t="s">
        <v>361</v>
      </c>
      <c r="C24" s="930">
        <v>3200</v>
      </c>
      <c r="D24" s="930">
        <v>-3200</v>
      </c>
      <c r="E24" s="930">
        <f>C24+D24</f>
        <v>0</v>
      </c>
      <c r="F24" s="930"/>
      <c r="G24" s="930">
        <f>E24+F24</f>
        <v>0</v>
      </c>
      <c r="H24" s="930"/>
      <c r="I24" s="930">
        <f>G24+H24</f>
        <v>0</v>
      </c>
      <c r="J24" s="930"/>
      <c r="K24" s="930">
        <f>I24+J24</f>
        <v>0</v>
      </c>
      <c r="L24" s="930"/>
      <c r="M24" s="1551"/>
      <c r="N24" s="930">
        <v>0</v>
      </c>
      <c r="O24" s="930">
        <v>0</v>
      </c>
      <c r="P24" s="931">
        <v>0</v>
      </c>
      <c r="Q24" s="744">
        <f t="shared" si="1"/>
        <v>0</v>
      </c>
    </row>
    <row r="25" spans="1:17" s="522" customFormat="1" ht="21" customHeight="1" thickBot="1">
      <c r="A25" s="936"/>
      <c r="B25" s="921" t="s">
        <v>362</v>
      </c>
      <c r="C25" s="937">
        <f t="shared" ref="C25:P25" si="6">SUM(C20:C24)</f>
        <v>5200</v>
      </c>
      <c r="D25" s="937">
        <f t="shared" si="6"/>
        <v>-3200</v>
      </c>
      <c r="E25" s="937">
        <f t="shared" si="6"/>
        <v>2000</v>
      </c>
      <c r="F25" s="937">
        <f t="shared" si="6"/>
        <v>0</v>
      </c>
      <c r="G25" s="937">
        <f t="shared" si="6"/>
        <v>2000</v>
      </c>
      <c r="H25" s="937">
        <f>SUM(H20:H24)</f>
        <v>0</v>
      </c>
      <c r="I25" s="937">
        <f>SUM(I20:I24)</f>
        <v>2000</v>
      </c>
      <c r="J25" s="937">
        <f>SUM(J20:J24)</f>
        <v>0</v>
      </c>
      <c r="K25" s="937">
        <f>SUM(K20:K24)</f>
        <v>2000</v>
      </c>
      <c r="L25" s="937">
        <f>SUM(L20:L24)</f>
        <v>74</v>
      </c>
      <c r="M25" s="1552">
        <f t="shared" si="5"/>
        <v>3.6999999999999998E-2</v>
      </c>
      <c r="N25" s="937">
        <f t="shared" si="6"/>
        <v>2000</v>
      </c>
      <c r="O25" s="937">
        <f t="shared" si="6"/>
        <v>0</v>
      </c>
      <c r="P25" s="938">
        <f t="shared" si="6"/>
        <v>0</v>
      </c>
      <c r="Q25" s="745">
        <f t="shared" si="1"/>
        <v>2000</v>
      </c>
    </row>
    <row r="26" spans="1:17" s="521" customFormat="1" ht="33" customHeight="1" thickBot="1">
      <c r="A26" s="939" t="s">
        <v>274</v>
      </c>
      <c r="B26" s="922" t="s">
        <v>91</v>
      </c>
      <c r="C26" s="1874"/>
      <c r="D26" s="1875"/>
      <c r="E26" s="1875"/>
      <c r="F26" s="1875"/>
      <c r="G26" s="1875"/>
      <c r="H26" s="1875"/>
      <c r="I26" s="1875"/>
      <c r="J26" s="1875"/>
      <c r="K26" s="1875"/>
      <c r="L26" s="1875"/>
      <c r="M26" s="1875"/>
      <c r="N26" s="1876"/>
      <c r="O26" s="1876"/>
      <c r="P26" s="1877"/>
      <c r="Q26" s="744"/>
    </row>
    <row r="27" spans="1:17" s="520" customFormat="1" ht="23.1" customHeight="1">
      <c r="A27" s="940" t="s">
        <v>60</v>
      </c>
      <c r="B27" s="923" t="s">
        <v>92</v>
      </c>
      <c r="C27" s="1884"/>
      <c r="D27" s="1885"/>
      <c r="E27" s="1885"/>
      <c r="F27" s="1885"/>
      <c r="G27" s="1885"/>
      <c r="H27" s="1885"/>
      <c r="I27" s="1885"/>
      <c r="J27" s="1885"/>
      <c r="K27" s="1885"/>
      <c r="L27" s="1885"/>
      <c r="M27" s="1885"/>
      <c r="N27" s="1886"/>
      <c r="O27" s="1886"/>
      <c r="P27" s="1887"/>
      <c r="Q27" s="744"/>
    </row>
    <row r="28" spans="1:17" s="520" customFormat="1" ht="21" customHeight="1">
      <c r="A28" s="929"/>
      <c r="B28" s="918" t="s">
        <v>40</v>
      </c>
      <c r="C28" s="930">
        <v>0</v>
      </c>
      <c r="D28" s="930"/>
      <c r="E28" s="930">
        <f>C28+D28</f>
        <v>0</v>
      </c>
      <c r="F28" s="930"/>
      <c r="G28" s="930">
        <f>E28+F28</f>
        <v>0</v>
      </c>
      <c r="H28" s="930"/>
      <c r="I28" s="930">
        <f>G28+H28</f>
        <v>0</v>
      </c>
      <c r="J28" s="930"/>
      <c r="K28" s="930">
        <f>I28+J28</f>
        <v>0</v>
      </c>
      <c r="L28" s="930"/>
      <c r="M28" s="1551"/>
      <c r="N28" s="930">
        <v>0</v>
      </c>
      <c r="O28" s="930">
        <v>0</v>
      </c>
      <c r="P28" s="931">
        <v>0</v>
      </c>
      <c r="Q28" s="744">
        <f t="shared" si="1"/>
        <v>0</v>
      </c>
    </row>
    <row r="29" spans="1:17" s="520" customFormat="1" ht="21" customHeight="1">
      <c r="A29" s="929"/>
      <c r="B29" s="918" t="s">
        <v>303</v>
      </c>
      <c r="C29" s="930">
        <v>0</v>
      </c>
      <c r="D29" s="930"/>
      <c r="E29" s="930">
        <f>C29+D29</f>
        <v>0</v>
      </c>
      <c r="F29" s="930"/>
      <c r="G29" s="930">
        <f>E29+F29</f>
        <v>0</v>
      </c>
      <c r="H29" s="930"/>
      <c r="I29" s="930">
        <f>G29+H29</f>
        <v>0</v>
      </c>
      <c r="J29" s="930"/>
      <c r="K29" s="930">
        <f>I29+J29</f>
        <v>0</v>
      </c>
      <c r="L29" s="930"/>
      <c r="M29" s="1551"/>
      <c r="N29" s="930">
        <v>0</v>
      </c>
      <c r="O29" s="930">
        <v>0</v>
      </c>
      <c r="P29" s="931">
        <v>0</v>
      </c>
      <c r="Q29" s="744">
        <f t="shared" si="1"/>
        <v>0</v>
      </c>
    </row>
    <row r="30" spans="1:17" s="520" customFormat="1" ht="21" customHeight="1">
      <c r="A30" s="929"/>
      <c r="B30" s="918" t="s">
        <v>132</v>
      </c>
      <c r="C30" s="930">
        <v>0</v>
      </c>
      <c r="D30" s="930"/>
      <c r="E30" s="930">
        <f>C30+D30</f>
        <v>0</v>
      </c>
      <c r="F30" s="930"/>
      <c r="G30" s="930">
        <f>E30+F30</f>
        <v>0</v>
      </c>
      <c r="H30" s="930"/>
      <c r="I30" s="930">
        <f>G30+H30</f>
        <v>0</v>
      </c>
      <c r="J30" s="930"/>
      <c r="K30" s="930">
        <f>I30+J30</f>
        <v>0</v>
      </c>
      <c r="L30" s="930"/>
      <c r="M30" s="1551"/>
      <c r="N30" s="930">
        <v>0</v>
      </c>
      <c r="O30" s="930">
        <v>0</v>
      </c>
      <c r="P30" s="931">
        <v>0</v>
      </c>
      <c r="Q30" s="744">
        <f t="shared" si="1"/>
        <v>0</v>
      </c>
    </row>
    <row r="31" spans="1:17" s="520" customFormat="1" ht="21" customHeight="1">
      <c r="A31" s="929"/>
      <c r="B31" s="918" t="s">
        <v>42</v>
      </c>
      <c r="C31" s="930">
        <v>0</v>
      </c>
      <c r="D31" s="930"/>
      <c r="E31" s="930">
        <f>C31+D31</f>
        <v>0</v>
      </c>
      <c r="F31" s="930"/>
      <c r="G31" s="930">
        <f>E31+F31</f>
        <v>0</v>
      </c>
      <c r="H31" s="930"/>
      <c r="I31" s="930">
        <f>G31+H31</f>
        <v>0</v>
      </c>
      <c r="J31" s="930"/>
      <c r="K31" s="930">
        <f>I31+J31</f>
        <v>0</v>
      </c>
      <c r="L31" s="930"/>
      <c r="M31" s="1551"/>
      <c r="N31" s="930">
        <v>0</v>
      </c>
      <c r="O31" s="930">
        <v>0</v>
      </c>
      <c r="P31" s="931">
        <v>0</v>
      </c>
      <c r="Q31" s="744">
        <f t="shared" si="1"/>
        <v>0</v>
      </c>
    </row>
    <row r="32" spans="1:17" s="520" customFormat="1" ht="21" customHeight="1">
      <c r="A32" s="929"/>
      <c r="B32" s="918" t="s">
        <v>361</v>
      </c>
      <c r="C32" s="930">
        <v>0</v>
      </c>
      <c r="D32" s="930"/>
      <c r="E32" s="930">
        <f>C32+D32</f>
        <v>0</v>
      </c>
      <c r="F32" s="930"/>
      <c r="G32" s="930">
        <f>E32+F32</f>
        <v>0</v>
      </c>
      <c r="H32" s="930"/>
      <c r="I32" s="930">
        <f>G32+H32</f>
        <v>0</v>
      </c>
      <c r="J32" s="930"/>
      <c r="K32" s="930">
        <f>I32+J32</f>
        <v>0</v>
      </c>
      <c r="L32" s="930"/>
      <c r="M32" s="1551"/>
      <c r="N32" s="930">
        <v>0</v>
      </c>
      <c r="O32" s="930">
        <v>0</v>
      </c>
      <c r="P32" s="931">
        <v>0</v>
      </c>
      <c r="Q32" s="744">
        <f t="shared" si="1"/>
        <v>0</v>
      </c>
    </row>
    <row r="33" spans="1:17" s="522" customFormat="1" ht="21" customHeight="1">
      <c r="A33" s="932"/>
      <c r="B33" s="919" t="s">
        <v>362</v>
      </c>
      <c r="C33" s="933">
        <f t="shared" ref="C33:P33" si="7">SUM(C28:C32)</f>
        <v>0</v>
      </c>
      <c r="D33" s="933">
        <f t="shared" si="7"/>
        <v>0</v>
      </c>
      <c r="E33" s="933">
        <f t="shared" si="7"/>
        <v>0</v>
      </c>
      <c r="F33" s="933">
        <f t="shared" si="7"/>
        <v>0</v>
      </c>
      <c r="G33" s="933">
        <f t="shared" si="7"/>
        <v>0</v>
      </c>
      <c r="H33" s="933">
        <f>SUM(H28:H32)</f>
        <v>0</v>
      </c>
      <c r="I33" s="933">
        <f>SUM(I28:I32)</f>
        <v>0</v>
      </c>
      <c r="J33" s="933">
        <f>SUM(J28:J32)</f>
        <v>0</v>
      </c>
      <c r="K33" s="933">
        <f>SUM(K28:K32)</f>
        <v>0</v>
      </c>
      <c r="L33" s="933">
        <f>SUM(L28:L32)</f>
        <v>0</v>
      </c>
      <c r="M33" s="1552"/>
      <c r="N33" s="933">
        <f t="shared" si="7"/>
        <v>0</v>
      </c>
      <c r="O33" s="933">
        <f t="shared" si="7"/>
        <v>0</v>
      </c>
      <c r="P33" s="934">
        <f t="shared" si="7"/>
        <v>0</v>
      </c>
      <c r="Q33" s="745">
        <f t="shared" si="1"/>
        <v>0</v>
      </c>
    </row>
    <row r="34" spans="1:17" s="520" customFormat="1" ht="23.1" customHeight="1">
      <c r="A34" s="935" t="s">
        <v>61</v>
      </c>
      <c r="B34" s="920" t="s">
        <v>95</v>
      </c>
      <c r="C34" s="1888"/>
      <c r="D34" s="1889"/>
      <c r="E34" s="1889"/>
      <c r="F34" s="1889"/>
      <c r="G34" s="1889"/>
      <c r="H34" s="1889"/>
      <c r="I34" s="1889"/>
      <c r="J34" s="1889"/>
      <c r="K34" s="1889"/>
      <c r="L34" s="1889"/>
      <c r="M34" s="1889"/>
      <c r="N34" s="1890"/>
      <c r="O34" s="1890"/>
      <c r="P34" s="1891"/>
      <c r="Q34" s="744"/>
    </row>
    <row r="35" spans="1:17" s="520" customFormat="1" ht="21" customHeight="1">
      <c r="A35" s="929"/>
      <c r="B35" s="918" t="s">
        <v>40</v>
      </c>
      <c r="C35" s="930">
        <v>0</v>
      </c>
      <c r="D35" s="930"/>
      <c r="E35" s="930">
        <f>C35+D35</f>
        <v>0</v>
      </c>
      <c r="F35" s="930"/>
      <c r="G35" s="930">
        <f>E35+F35</f>
        <v>0</v>
      </c>
      <c r="H35" s="930"/>
      <c r="I35" s="930">
        <f>G35+H35</f>
        <v>0</v>
      </c>
      <c r="J35" s="930"/>
      <c r="K35" s="930">
        <f>I35+J35</f>
        <v>0</v>
      </c>
      <c r="L35" s="930"/>
      <c r="M35" s="1551"/>
      <c r="N35" s="930">
        <f>SUM(N34:N34)</f>
        <v>0</v>
      </c>
      <c r="O35" s="930">
        <f>SUM(O34:O34)</f>
        <v>0</v>
      </c>
      <c r="P35" s="931">
        <f>SUM(P34:P34)</f>
        <v>0</v>
      </c>
      <c r="Q35" s="744">
        <f t="shared" si="1"/>
        <v>0</v>
      </c>
    </row>
    <row r="36" spans="1:17" s="520" customFormat="1" ht="21" customHeight="1">
      <c r="A36" s="929"/>
      <c r="B36" s="918" t="s">
        <v>303</v>
      </c>
      <c r="C36" s="930">
        <v>0</v>
      </c>
      <c r="D36" s="930"/>
      <c r="E36" s="930">
        <f>C36+D36</f>
        <v>0</v>
      </c>
      <c r="F36" s="930"/>
      <c r="G36" s="930">
        <f>E36+F36</f>
        <v>0</v>
      </c>
      <c r="H36" s="930"/>
      <c r="I36" s="930">
        <f>G36+H36</f>
        <v>0</v>
      </c>
      <c r="J36" s="930"/>
      <c r="K36" s="930">
        <f>I36+J36</f>
        <v>0</v>
      </c>
      <c r="L36" s="930"/>
      <c r="M36" s="1551"/>
      <c r="N36" s="930">
        <f>SUM(N34:N35)</f>
        <v>0</v>
      </c>
      <c r="O36" s="930">
        <f>SUM(O34:O35)</f>
        <v>0</v>
      </c>
      <c r="P36" s="931">
        <f>SUM(P34:P35)</f>
        <v>0</v>
      </c>
      <c r="Q36" s="744">
        <f t="shared" si="1"/>
        <v>0</v>
      </c>
    </row>
    <row r="37" spans="1:17" s="520" customFormat="1" ht="21" customHeight="1">
      <c r="A37" s="929"/>
      <c r="B37" s="918" t="s">
        <v>132</v>
      </c>
      <c r="C37" s="930">
        <v>6000</v>
      </c>
      <c r="D37" s="930"/>
      <c r="E37" s="930">
        <f>C37+D37</f>
        <v>6000</v>
      </c>
      <c r="F37" s="930"/>
      <c r="G37" s="930">
        <f>E37+F37</f>
        <v>6000</v>
      </c>
      <c r="H37" s="930">
        <v>-5000</v>
      </c>
      <c r="I37" s="930">
        <f>G37+H37</f>
        <v>1000</v>
      </c>
      <c r="J37" s="930"/>
      <c r="K37" s="930">
        <f>I37+J37</f>
        <v>1000</v>
      </c>
      <c r="L37" s="930">
        <v>0</v>
      </c>
      <c r="M37" s="1551">
        <f t="shared" ref="M37:M40" si="8">L37/K37</f>
        <v>0</v>
      </c>
      <c r="N37" s="930">
        <v>1000</v>
      </c>
      <c r="O37" s="930">
        <f>SUM(O34:O36)</f>
        <v>0</v>
      </c>
      <c r="P37" s="931">
        <f>SUM(P34:P36)</f>
        <v>0</v>
      </c>
      <c r="Q37" s="744">
        <f t="shared" si="1"/>
        <v>1000</v>
      </c>
    </row>
    <row r="38" spans="1:17" s="520" customFormat="1" ht="21" customHeight="1">
      <c r="A38" s="929"/>
      <c r="B38" s="918" t="s">
        <v>42</v>
      </c>
      <c r="C38" s="930">
        <f>'15'!C12</f>
        <v>387600</v>
      </c>
      <c r="D38" s="930"/>
      <c r="E38" s="930">
        <f>C38+D38</f>
        <v>387600</v>
      </c>
      <c r="F38" s="930"/>
      <c r="G38" s="930">
        <f>E38+F38</f>
        <v>387600</v>
      </c>
      <c r="H38" s="930">
        <f>'15'!L12</f>
        <v>-145000</v>
      </c>
      <c r="I38" s="930">
        <f>G38+H38+150000</f>
        <v>392600</v>
      </c>
      <c r="J38" s="930">
        <v>-20000</v>
      </c>
      <c r="K38" s="930">
        <f>I38+J38</f>
        <v>372600</v>
      </c>
      <c r="L38" s="930">
        <v>220921</v>
      </c>
      <c r="M38" s="1551">
        <f t="shared" si="8"/>
        <v>0.59291733762748255</v>
      </c>
      <c r="N38" s="930">
        <f>'15'!R12</f>
        <v>308412</v>
      </c>
      <c r="O38" s="930">
        <f>'15'!S12</f>
        <v>64188</v>
      </c>
      <c r="P38" s="931">
        <f>SUM(P34:P37)</f>
        <v>0</v>
      </c>
      <c r="Q38" s="744">
        <f t="shared" si="1"/>
        <v>372600</v>
      </c>
    </row>
    <row r="39" spans="1:17" s="520" customFormat="1" ht="21" customHeight="1">
      <c r="A39" s="929"/>
      <c r="B39" s="918" t="s">
        <v>361</v>
      </c>
      <c r="C39" s="941">
        <v>0</v>
      </c>
      <c r="D39" s="941"/>
      <c r="E39" s="930">
        <f>C39+D39</f>
        <v>0</v>
      </c>
      <c r="F39" s="930"/>
      <c r="G39" s="930">
        <f>E39+F39</f>
        <v>0</v>
      </c>
      <c r="H39" s="930"/>
      <c r="I39" s="930">
        <f>G39+H39</f>
        <v>0</v>
      </c>
      <c r="J39" s="930"/>
      <c r="K39" s="930">
        <f>I39+J39</f>
        <v>0</v>
      </c>
      <c r="L39" s="930"/>
      <c r="M39" s="1551"/>
      <c r="N39" s="941">
        <v>0</v>
      </c>
      <c r="O39" s="941">
        <v>0</v>
      </c>
      <c r="P39" s="942">
        <v>0</v>
      </c>
      <c r="Q39" s="744">
        <f t="shared" si="1"/>
        <v>0</v>
      </c>
    </row>
    <row r="40" spans="1:17" s="522" customFormat="1" ht="21" customHeight="1" thickBot="1">
      <c r="A40" s="943"/>
      <c r="B40" s="924" t="s">
        <v>362</v>
      </c>
      <c r="C40" s="944">
        <f t="shared" ref="C40:P40" si="9">SUM(C35:C39)</f>
        <v>393600</v>
      </c>
      <c r="D40" s="944">
        <f t="shared" si="9"/>
        <v>0</v>
      </c>
      <c r="E40" s="944">
        <f t="shared" si="9"/>
        <v>393600</v>
      </c>
      <c r="F40" s="944">
        <f t="shared" si="9"/>
        <v>0</v>
      </c>
      <c r="G40" s="944">
        <f t="shared" si="9"/>
        <v>393600</v>
      </c>
      <c r="H40" s="944">
        <f>SUM(H35:H39)</f>
        <v>-150000</v>
      </c>
      <c r="I40" s="944">
        <f>SUM(I35:I39)</f>
        <v>393600</v>
      </c>
      <c r="J40" s="944">
        <f>SUM(J35:J39)</f>
        <v>-20000</v>
      </c>
      <c r="K40" s="944">
        <f>SUM(K35:K39)</f>
        <v>373600</v>
      </c>
      <c r="L40" s="944">
        <f>SUM(L35:L39)</f>
        <v>220921</v>
      </c>
      <c r="M40" s="1552">
        <f t="shared" si="8"/>
        <v>0.59133029978586726</v>
      </c>
      <c r="N40" s="944">
        <f t="shared" si="9"/>
        <v>309412</v>
      </c>
      <c r="O40" s="944">
        <f t="shared" si="9"/>
        <v>64188</v>
      </c>
      <c r="P40" s="945">
        <f t="shared" si="9"/>
        <v>0</v>
      </c>
      <c r="Q40" s="745">
        <f t="shared" si="1"/>
        <v>373600</v>
      </c>
    </row>
    <row r="41" spans="1:17" s="523" customFormat="1" ht="31.15" customHeight="1" thickBot="1">
      <c r="A41" s="939" t="s">
        <v>275</v>
      </c>
      <c r="B41" s="922" t="s">
        <v>96</v>
      </c>
      <c r="C41" s="1882"/>
      <c r="D41" s="1883"/>
      <c r="E41" s="1883"/>
      <c r="F41" s="1883"/>
      <c r="G41" s="1883"/>
      <c r="H41" s="1883"/>
      <c r="I41" s="1883"/>
      <c r="J41" s="1883"/>
      <c r="K41" s="1883"/>
      <c r="L41" s="1883"/>
      <c r="M41" s="1883"/>
      <c r="N41" s="1876"/>
      <c r="O41" s="1876"/>
      <c r="P41" s="1877"/>
      <c r="Q41" s="744"/>
    </row>
    <row r="42" spans="1:17" s="520" customFormat="1" ht="23.1" customHeight="1">
      <c r="A42" s="940" t="s">
        <v>60</v>
      </c>
      <c r="B42" s="923" t="s">
        <v>97</v>
      </c>
      <c r="C42" s="1884"/>
      <c r="D42" s="1885"/>
      <c r="E42" s="1885"/>
      <c r="F42" s="1885"/>
      <c r="G42" s="1885"/>
      <c r="H42" s="1885"/>
      <c r="I42" s="1885"/>
      <c r="J42" s="1885"/>
      <c r="K42" s="1885"/>
      <c r="L42" s="1885"/>
      <c r="M42" s="1885"/>
      <c r="N42" s="1886"/>
      <c r="O42" s="1886"/>
      <c r="P42" s="1887"/>
      <c r="Q42" s="744"/>
    </row>
    <row r="43" spans="1:17" s="520" customFormat="1" ht="19.149999999999999" customHeight="1">
      <c r="A43" s="929"/>
      <c r="B43" s="918" t="s">
        <v>40</v>
      </c>
      <c r="C43" s="946">
        <v>207000</v>
      </c>
      <c r="D43" s="946">
        <f>12150+505+63+4086</f>
        <v>16804</v>
      </c>
      <c r="E43" s="946">
        <v>224138</v>
      </c>
      <c r="F43" s="946">
        <f>2377-3150+128+20000</f>
        <v>19355</v>
      </c>
      <c r="G43" s="946">
        <f>E43+F43</f>
        <v>243493</v>
      </c>
      <c r="H43" s="946">
        <f>65+200</f>
        <v>265</v>
      </c>
      <c r="I43" s="946">
        <f>G43+H43</f>
        <v>243758</v>
      </c>
      <c r="J43" s="946">
        <f>-668+(-82)+53</f>
        <v>-697</v>
      </c>
      <c r="K43" s="946">
        <f>I43+J43</f>
        <v>243061</v>
      </c>
      <c r="L43" s="946">
        <f>214361+2+2752+2651+3027</f>
        <v>222793</v>
      </c>
      <c r="M43" s="1551">
        <f>L43/K43</f>
        <v>0.91661352499989712</v>
      </c>
      <c r="N43" s="946">
        <f>K43*0.75</f>
        <v>182295.75</v>
      </c>
      <c r="O43" s="946">
        <v>60765</v>
      </c>
      <c r="P43" s="947">
        <f>SUM(P41:P42)</f>
        <v>0</v>
      </c>
      <c r="Q43" s="744">
        <f t="shared" si="1"/>
        <v>243060.75</v>
      </c>
    </row>
    <row r="44" spans="1:17" s="520" customFormat="1" ht="21" customHeight="1">
      <c r="A44" s="929"/>
      <c r="B44" s="918" t="s">
        <v>303</v>
      </c>
      <c r="C44" s="946">
        <v>62300</v>
      </c>
      <c r="D44" s="946">
        <f>7297+136+17+1151</f>
        <v>8601</v>
      </c>
      <c r="E44" s="946">
        <v>70965</v>
      </c>
      <c r="F44" s="946">
        <f>690+34</f>
        <v>724</v>
      </c>
      <c r="G44" s="946">
        <f t="shared" ref="G44:G49" si="10">E44+F44</f>
        <v>71689</v>
      </c>
      <c r="H44" s="946">
        <f>17</f>
        <v>17</v>
      </c>
      <c r="I44" s="946">
        <f>G44+H44</f>
        <v>71706</v>
      </c>
      <c r="J44" s="946">
        <v>14</v>
      </c>
      <c r="K44" s="946">
        <f>I44+J44</f>
        <v>71720</v>
      </c>
      <c r="L44" s="946">
        <f>62456+781+761+765</f>
        <v>64763</v>
      </c>
      <c r="M44" s="1551">
        <f t="shared" ref="M44:M45" si="11">L44/K44</f>
        <v>0.90299776910206353</v>
      </c>
      <c r="N44" s="946">
        <f t="shared" ref="N44:N45" si="12">K44*0.75</f>
        <v>53790</v>
      </c>
      <c r="O44" s="946">
        <v>17930</v>
      </c>
      <c r="P44" s="947">
        <f>SUM(P41:P43)</f>
        <v>0</v>
      </c>
      <c r="Q44" s="744">
        <f t="shared" si="1"/>
        <v>71720</v>
      </c>
    </row>
    <row r="45" spans="1:17" s="520" customFormat="1" ht="19.149999999999999" customHeight="1">
      <c r="A45" s="929"/>
      <c r="B45" s="918" t="s">
        <v>132</v>
      </c>
      <c r="C45" s="946">
        <f>109000+295</f>
        <v>109295</v>
      </c>
      <c r="D45" s="946">
        <f>25402+2200</f>
        <v>27602</v>
      </c>
      <c r="E45" s="946">
        <v>138262</v>
      </c>
      <c r="F45" s="946">
        <f>532+3150</f>
        <v>3682</v>
      </c>
      <c r="G45" s="946">
        <f t="shared" si="10"/>
        <v>141944</v>
      </c>
      <c r="H45" s="946">
        <v>2800</v>
      </c>
      <c r="I45" s="946">
        <f>G45+H45</f>
        <v>144744</v>
      </c>
      <c r="J45" s="946">
        <v>1890</v>
      </c>
      <c r="K45" s="946">
        <f>I45+J45</f>
        <v>146634</v>
      </c>
      <c r="L45" s="946">
        <f>68805+2860+10190+4048+508+75+646+263+646+2728</f>
        <v>90769</v>
      </c>
      <c r="M45" s="1551">
        <f t="shared" si="11"/>
        <v>0.61901741751571937</v>
      </c>
      <c r="N45" s="946">
        <f t="shared" si="12"/>
        <v>109975.5</v>
      </c>
      <c r="O45" s="946">
        <f>K45-N45</f>
        <v>36658.5</v>
      </c>
      <c r="P45" s="947">
        <f>SUM(P41:P44)</f>
        <v>0</v>
      </c>
      <c r="Q45" s="744">
        <f t="shared" si="1"/>
        <v>146634</v>
      </c>
    </row>
    <row r="46" spans="1:17" s="520" customFormat="1" ht="19.149999999999999" customHeight="1">
      <c r="A46" s="929"/>
      <c r="B46" s="918" t="s">
        <v>42</v>
      </c>
      <c r="C46" s="946">
        <v>0</v>
      </c>
      <c r="D46" s="946"/>
      <c r="E46" s="946">
        <f>C46+D46</f>
        <v>0</v>
      </c>
      <c r="F46" s="946"/>
      <c r="G46" s="946">
        <f t="shared" si="10"/>
        <v>0</v>
      </c>
      <c r="H46" s="946"/>
      <c r="I46" s="946">
        <f>G46+H46</f>
        <v>0</v>
      </c>
      <c r="J46" s="946"/>
      <c r="K46" s="946">
        <f>I46+J46</f>
        <v>0</v>
      </c>
      <c r="L46" s="946"/>
      <c r="M46" s="1551"/>
      <c r="N46" s="946">
        <v>0</v>
      </c>
      <c r="O46" s="946">
        <v>0</v>
      </c>
      <c r="P46" s="947">
        <f>SUM(P41:P45)</f>
        <v>0</v>
      </c>
      <c r="Q46" s="744">
        <f t="shared" si="1"/>
        <v>0</v>
      </c>
    </row>
    <row r="47" spans="1:17" s="520" customFormat="1" ht="19.149999999999999" customHeight="1">
      <c r="A47" s="929"/>
      <c r="B47" s="918" t="s">
        <v>361</v>
      </c>
      <c r="C47" s="946">
        <v>40400</v>
      </c>
      <c r="D47" s="946">
        <v>-40400</v>
      </c>
      <c r="E47" s="946">
        <f>C47+D47</f>
        <v>0</v>
      </c>
      <c r="F47" s="946"/>
      <c r="G47" s="946">
        <f t="shared" si="10"/>
        <v>0</v>
      </c>
      <c r="H47" s="946"/>
      <c r="I47" s="946">
        <f>G47+H47</f>
        <v>0</v>
      </c>
      <c r="J47" s="946"/>
      <c r="K47" s="946">
        <f>I47+J47</f>
        <v>0</v>
      </c>
      <c r="L47" s="946"/>
      <c r="M47" s="1551"/>
      <c r="N47" s="946">
        <v>0</v>
      </c>
      <c r="O47" s="946">
        <v>0</v>
      </c>
      <c r="P47" s="947">
        <f>SUM(P42:P46)</f>
        <v>0</v>
      </c>
      <c r="Q47" s="744">
        <f t="shared" si="1"/>
        <v>0</v>
      </c>
    </row>
    <row r="48" spans="1:17" s="522" customFormat="1" ht="21" customHeight="1">
      <c r="A48" s="932"/>
      <c r="B48" s="919" t="s">
        <v>362</v>
      </c>
      <c r="C48" s="948">
        <f t="shared" ref="C48:G48" si="13">SUM(C43:C47)</f>
        <v>418995</v>
      </c>
      <c r="D48" s="948">
        <f t="shared" si="13"/>
        <v>12607</v>
      </c>
      <c r="E48" s="948">
        <f t="shared" si="13"/>
        <v>433365</v>
      </c>
      <c r="F48" s="948">
        <f t="shared" si="13"/>
        <v>23761</v>
      </c>
      <c r="G48" s="948">
        <f t="shared" si="13"/>
        <v>457126</v>
      </c>
      <c r="H48" s="948">
        <f t="shared" ref="H48:O48" si="14">SUM(H43:H47)</f>
        <v>3082</v>
      </c>
      <c r="I48" s="948">
        <f t="shared" si="14"/>
        <v>460208</v>
      </c>
      <c r="J48" s="948">
        <f>SUM(J43:J47)</f>
        <v>1207</v>
      </c>
      <c r="K48" s="948">
        <f>SUM(K43:K47)</f>
        <v>461415</v>
      </c>
      <c r="L48" s="948">
        <f>SUM(L43:L47)</f>
        <v>378325</v>
      </c>
      <c r="M48" s="1552">
        <f>L48/K48</f>
        <v>0.81992349620190064</v>
      </c>
      <c r="N48" s="948">
        <f t="shared" si="14"/>
        <v>346061.25</v>
      </c>
      <c r="O48" s="948">
        <f t="shared" si="14"/>
        <v>115353.5</v>
      </c>
      <c r="P48" s="949">
        <f>SUM(P43:P47)</f>
        <v>0</v>
      </c>
      <c r="Q48" s="745">
        <f t="shared" si="1"/>
        <v>461414.75</v>
      </c>
    </row>
    <row r="49" spans="1:97" s="520" customFormat="1" ht="19.149999999999999" customHeight="1">
      <c r="A49" s="929"/>
      <c r="B49" s="918" t="s">
        <v>364</v>
      </c>
      <c r="C49" s="930">
        <f>17000+4000</f>
        <v>21000</v>
      </c>
      <c r="D49" s="930">
        <v>-17000</v>
      </c>
      <c r="E49" s="946">
        <f>C49+D49</f>
        <v>4000</v>
      </c>
      <c r="F49" s="946"/>
      <c r="G49" s="946">
        <f t="shared" si="10"/>
        <v>4000</v>
      </c>
      <c r="H49" s="946"/>
      <c r="I49" s="946">
        <f>G49+H49</f>
        <v>4000</v>
      </c>
      <c r="J49" s="946"/>
      <c r="K49" s="946">
        <f>I49+J49</f>
        <v>4000</v>
      </c>
      <c r="L49" s="946"/>
      <c r="M49" s="1553">
        <f>L49/K49</f>
        <v>0</v>
      </c>
      <c r="N49" s="930">
        <v>0</v>
      </c>
      <c r="O49" s="946">
        <f>G49-N49</f>
        <v>4000</v>
      </c>
      <c r="P49" s="931">
        <v>0</v>
      </c>
      <c r="Q49" s="744">
        <f t="shared" si="1"/>
        <v>4000</v>
      </c>
    </row>
    <row r="50" spans="1:97" s="522" customFormat="1" ht="21" customHeight="1" thickBot="1">
      <c r="A50" s="943"/>
      <c r="B50" s="924" t="s">
        <v>365</v>
      </c>
      <c r="C50" s="944">
        <f t="shared" ref="C50:P50" si="15">SUM(C49:C49)</f>
        <v>21000</v>
      </c>
      <c r="D50" s="944">
        <f t="shared" si="15"/>
        <v>-17000</v>
      </c>
      <c r="E50" s="944">
        <f t="shared" si="15"/>
        <v>4000</v>
      </c>
      <c r="F50" s="944">
        <f t="shared" si="15"/>
        <v>0</v>
      </c>
      <c r="G50" s="944">
        <f t="shared" si="15"/>
        <v>4000</v>
      </c>
      <c r="H50" s="944">
        <f>H49</f>
        <v>0</v>
      </c>
      <c r="I50" s="944">
        <f>I49</f>
        <v>4000</v>
      </c>
      <c r="J50" s="944">
        <f>J49</f>
        <v>0</v>
      </c>
      <c r="K50" s="944">
        <f>K49</f>
        <v>4000</v>
      </c>
      <c r="L50" s="944">
        <f>L49</f>
        <v>0</v>
      </c>
      <c r="M50" s="1554">
        <f>M4</f>
        <v>0</v>
      </c>
      <c r="N50" s="944">
        <f t="shared" si="15"/>
        <v>0</v>
      </c>
      <c r="O50" s="948">
        <f>G50-N50</f>
        <v>4000</v>
      </c>
      <c r="P50" s="945">
        <f t="shared" si="15"/>
        <v>0</v>
      </c>
      <c r="Q50" s="745">
        <f t="shared" si="1"/>
        <v>4000</v>
      </c>
    </row>
    <row r="51" spans="1:97" s="520" customFormat="1" ht="30.6" customHeight="1">
      <c r="A51" s="950" t="s">
        <v>61</v>
      </c>
      <c r="B51" s="925" t="s">
        <v>354</v>
      </c>
      <c r="C51" s="1878"/>
      <c r="D51" s="1879"/>
      <c r="E51" s="1879"/>
      <c r="F51" s="1879"/>
      <c r="G51" s="1879"/>
      <c r="H51" s="1879"/>
      <c r="I51" s="1879"/>
      <c r="J51" s="1879"/>
      <c r="K51" s="1879"/>
      <c r="L51" s="1879"/>
      <c r="M51" s="1879"/>
      <c r="N51" s="1880"/>
      <c r="O51" s="1880"/>
      <c r="P51" s="1881"/>
      <c r="Q51" s="744"/>
    </row>
    <row r="52" spans="1:97" s="520" customFormat="1" ht="19.149999999999999" customHeight="1">
      <c r="A52" s="929"/>
      <c r="B52" s="918" t="s">
        <v>40</v>
      </c>
      <c r="C52" s="946">
        <v>39340</v>
      </c>
      <c r="D52" s="946">
        <v>604</v>
      </c>
      <c r="E52" s="946">
        <f>C52+D52</f>
        <v>39944</v>
      </c>
      <c r="F52" s="946"/>
      <c r="G52" s="946">
        <f>E52+F52</f>
        <v>39944</v>
      </c>
      <c r="H52" s="946">
        <v>-329</v>
      </c>
      <c r="I52" s="946">
        <f>G52+H52</f>
        <v>39615</v>
      </c>
      <c r="J52" s="946"/>
      <c r="K52" s="946">
        <f>I52+J52</f>
        <v>39615</v>
      </c>
      <c r="L52" s="946">
        <f>36372</f>
        <v>36372</v>
      </c>
      <c r="M52" s="1551">
        <f>L52/K52</f>
        <v>0.91813706929193484</v>
      </c>
      <c r="N52" s="946">
        <f>28600+D52</f>
        <v>29204</v>
      </c>
      <c r="O52" s="946">
        <f>I52-N52</f>
        <v>10411</v>
      </c>
      <c r="P52" s="951"/>
      <c r="Q52" s="744">
        <f t="shared" si="1"/>
        <v>39615</v>
      </c>
    </row>
    <row r="53" spans="1:97" s="520" customFormat="1" ht="21" customHeight="1">
      <c r="A53" s="929"/>
      <c r="B53" s="918" t="s">
        <v>303</v>
      </c>
      <c r="C53" s="946">
        <v>10334</v>
      </c>
      <c r="D53" s="946">
        <v>648</v>
      </c>
      <c r="E53" s="946">
        <f>C53+D53</f>
        <v>10982</v>
      </c>
      <c r="F53" s="946"/>
      <c r="G53" s="946">
        <f>E53+F53</f>
        <v>10982</v>
      </c>
      <c r="H53" s="946">
        <v>-89</v>
      </c>
      <c r="I53" s="946">
        <f>G53+H53</f>
        <v>10893</v>
      </c>
      <c r="J53" s="946"/>
      <c r="K53" s="946">
        <f>I53+J53</f>
        <v>10893</v>
      </c>
      <c r="L53" s="946">
        <f>9035</f>
        <v>9035</v>
      </c>
      <c r="M53" s="1551">
        <f t="shared" ref="M53:M57" si="16">L53/K53</f>
        <v>0.82943174515744056</v>
      </c>
      <c r="N53" s="946">
        <f>7700+D53</f>
        <v>8348</v>
      </c>
      <c r="O53" s="946">
        <f>I53-N53</f>
        <v>2545</v>
      </c>
      <c r="P53" s="951"/>
      <c r="Q53" s="744">
        <f t="shared" si="1"/>
        <v>10893</v>
      </c>
    </row>
    <row r="54" spans="1:97" s="520" customFormat="1" ht="19.149999999999999" customHeight="1">
      <c r="A54" s="929"/>
      <c r="B54" s="918" t="s">
        <v>132</v>
      </c>
      <c r="C54" s="946">
        <v>1000</v>
      </c>
      <c r="D54" s="946">
        <v>2472</v>
      </c>
      <c r="E54" s="946">
        <f>C54+D54</f>
        <v>3472</v>
      </c>
      <c r="F54" s="946"/>
      <c r="G54" s="946">
        <f>E54+F54</f>
        <v>3472</v>
      </c>
      <c r="H54" s="946"/>
      <c r="I54" s="946">
        <f>G54+H54</f>
        <v>3472</v>
      </c>
      <c r="J54" s="946"/>
      <c r="K54" s="946">
        <f>I54+J54</f>
        <v>3472</v>
      </c>
      <c r="L54" s="946">
        <v>329</v>
      </c>
      <c r="M54" s="1551">
        <f t="shared" si="16"/>
        <v>9.4758064516129031E-2</v>
      </c>
      <c r="N54" s="946">
        <f>1000+D54</f>
        <v>3472</v>
      </c>
      <c r="O54" s="946">
        <v>0</v>
      </c>
      <c r="P54" s="947">
        <v>0</v>
      </c>
      <c r="Q54" s="744">
        <f t="shared" si="1"/>
        <v>3472</v>
      </c>
    </row>
    <row r="55" spans="1:97" s="520" customFormat="1" ht="19.149999999999999" customHeight="1">
      <c r="A55" s="929"/>
      <c r="B55" s="918" t="s">
        <v>42</v>
      </c>
      <c r="C55" s="946">
        <v>0</v>
      </c>
      <c r="D55" s="946"/>
      <c r="E55" s="946">
        <f>C55+D55</f>
        <v>0</v>
      </c>
      <c r="F55" s="946"/>
      <c r="G55" s="946">
        <f>E55+F55</f>
        <v>0</v>
      </c>
      <c r="H55" s="946"/>
      <c r="I55" s="946">
        <f>G55+H55</f>
        <v>0</v>
      </c>
      <c r="J55" s="946"/>
      <c r="K55" s="946">
        <f>I55+J55</f>
        <v>0</v>
      </c>
      <c r="L55" s="946"/>
      <c r="M55" s="1551"/>
      <c r="N55" s="946">
        <v>0</v>
      </c>
      <c r="O55" s="946">
        <v>0</v>
      </c>
      <c r="P55" s="947">
        <v>0</v>
      </c>
      <c r="Q55" s="744">
        <f t="shared" si="1"/>
        <v>0</v>
      </c>
    </row>
    <row r="56" spans="1:97" s="520" customFormat="1" ht="19.149999999999999" customHeight="1">
      <c r="A56" s="929"/>
      <c r="B56" s="918" t="s">
        <v>361</v>
      </c>
      <c r="C56" s="946">
        <v>3300</v>
      </c>
      <c r="D56" s="946">
        <v>-3300</v>
      </c>
      <c r="E56" s="946">
        <f>C56+D56</f>
        <v>0</v>
      </c>
      <c r="F56" s="946"/>
      <c r="G56" s="946">
        <f>E56+F56</f>
        <v>0</v>
      </c>
      <c r="H56" s="946"/>
      <c r="I56" s="946">
        <f>G56+H56</f>
        <v>0</v>
      </c>
      <c r="J56" s="946"/>
      <c r="K56" s="946">
        <f>I56+J56</f>
        <v>0</v>
      </c>
      <c r="L56" s="946"/>
      <c r="M56" s="1551"/>
      <c r="N56" s="946">
        <v>0</v>
      </c>
      <c r="O56" s="946">
        <v>0</v>
      </c>
      <c r="P56" s="947">
        <v>0</v>
      </c>
      <c r="Q56" s="744">
        <f t="shared" si="1"/>
        <v>0</v>
      </c>
    </row>
    <row r="57" spans="1:97" s="522" customFormat="1" ht="21" customHeight="1" thickBot="1">
      <c r="A57" s="943"/>
      <c r="B57" s="924" t="s">
        <v>362</v>
      </c>
      <c r="C57" s="960">
        <f t="shared" ref="C57:P57" si="17">SUM(C52:C56)</f>
        <v>53974</v>
      </c>
      <c r="D57" s="960">
        <f t="shared" si="17"/>
        <v>424</v>
      </c>
      <c r="E57" s="960">
        <f t="shared" si="17"/>
        <v>54398</v>
      </c>
      <c r="F57" s="960">
        <f t="shared" si="17"/>
        <v>0</v>
      </c>
      <c r="G57" s="960">
        <f t="shared" si="17"/>
        <v>54398</v>
      </c>
      <c r="H57" s="960">
        <f>SUM(H52:H56)</f>
        <v>-418</v>
      </c>
      <c r="I57" s="960">
        <f>SUM(I52:I56)</f>
        <v>53980</v>
      </c>
      <c r="J57" s="960">
        <f>SUM(J52:J56)</f>
        <v>0</v>
      </c>
      <c r="K57" s="960">
        <f>SUM(K52:K56)</f>
        <v>53980</v>
      </c>
      <c r="L57" s="960">
        <f>SUM(L52:L56)</f>
        <v>45736</v>
      </c>
      <c r="M57" s="1552">
        <f t="shared" si="16"/>
        <v>0.84727676917376804</v>
      </c>
      <c r="N57" s="960">
        <f t="shared" si="17"/>
        <v>41024</v>
      </c>
      <c r="O57" s="960">
        <f t="shared" si="17"/>
        <v>12956</v>
      </c>
      <c r="P57" s="961">
        <f t="shared" si="17"/>
        <v>0</v>
      </c>
      <c r="Q57" s="745">
        <f t="shared" si="1"/>
        <v>53980</v>
      </c>
    </row>
    <row r="58" spans="1:97" s="524" customFormat="1" ht="31.15" customHeight="1" thickBot="1">
      <c r="A58" s="939" t="s">
        <v>276</v>
      </c>
      <c r="B58" s="922" t="s">
        <v>99</v>
      </c>
      <c r="C58" s="1882"/>
      <c r="D58" s="1883"/>
      <c r="E58" s="1883"/>
      <c r="F58" s="1883"/>
      <c r="G58" s="1883"/>
      <c r="H58" s="1883"/>
      <c r="I58" s="1883"/>
      <c r="J58" s="1883"/>
      <c r="K58" s="1883"/>
      <c r="L58" s="1883"/>
      <c r="M58" s="1883"/>
      <c r="N58" s="1876"/>
      <c r="O58" s="1876"/>
      <c r="P58" s="1877"/>
      <c r="Q58" s="744"/>
      <c r="R58" s="523"/>
      <c r="S58" s="523"/>
      <c r="T58" s="523"/>
      <c r="U58" s="523"/>
      <c r="V58" s="523"/>
      <c r="W58" s="523"/>
      <c r="X58" s="523"/>
      <c r="Y58" s="523"/>
      <c r="Z58" s="523"/>
      <c r="AA58" s="523"/>
      <c r="AB58" s="523"/>
      <c r="AC58" s="523"/>
      <c r="AD58" s="523"/>
      <c r="AE58" s="523"/>
      <c r="AF58" s="523"/>
      <c r="AG58" s="523"/>
      <c r="AH58" s="523"/>
      <c r="AI58" s="523"/>
      <c r="AJ58" s="523"/>
      <c r="AK58" s="523"/>
      <c r="AL58" s="523"/>
      <c r="AM58" s="523"/>
      <c r="AN58" s="523"/>
      <c r="AO58" s="523"/>
      <c r="AP58" s="523"/>
      <c r="AQ58" s="523"/>
      <c r="AR58" s="523"/>
      <c r="AS58" s="523"/>
      <c r="AT58" s="523"/>
      <c r="AU58" s="523"/>
      <c r="AV58" s="523"/>
      <c r="AW58" s="523"/>
      <c r="AX58" s="523"/>
      <c r="AY58" s="523"/>
      <c r="AZ58" s="523"/>
      <c r="BA58" s="523"/>
      <c r="BB58" s="523"/>
      <c r="BC58" s="523"/>
      <c r="BD58" s="523"/>
      <c r="BE58" s="523"/>
      <c r="BF58" s="523"/>
      <c r="BG58" s="523"/>
      <c r="BH58" s="523"/>
      <c r="BI58" s="523"/>
      <c r="BJ58" s="523"/>
      <c r="BK58" s="523"/>
      <c r="BL58" s="523"/>
      <c r="BM58" s="523"/>
      <c r="BN58" s="523"/>
      <c r="BO58" s="523"/>
      <c r="BP58" s="523"/>
      <c r="BQ58" s="523"/>
      <c r="BR58" s="523"/>
      <c r="BS58" s="523"/>
      <c r="BT58" s="523"/>
      <c r="BU58" s="523"/>
      <c r="BV58" s="523"/>
      <c r="BW58" s="523"/>
      <c r="BX58" s="523"/>
      <c r="BY58" s="523"/>
      <c r="BZ58" s="523"/>
      <c r="CA58" s="523"/>
      <c r="CB58" s="523"/>
      <c r="CC58" s="523"/>
      <c r="CD58" s="523"/>
      <c r="CE58" s="523"/>
      <c r="CF58" s="523"/>
      <c r="CG58" s="523"/>
      <c r="CH58" s="523"/>
      <c r="CI58" s="523"/>
      <c r="CJ58" s="523"/>
      <c r="CK58" s="523"/>
      <c r="CL58" s="523"/>
      <c r="CM58" s="523"/>
      <c r="CN58" s="523"/>
      <c r="CO58" s="523"/>
      <c r="CP58" s="523"/>
      <c r="CQ58" s="523"/>
      <c r="CR58" s="523"/>
      <c r="CS58" s="523"/>
    </row>
    <row r="59" spans="1:97" s="606" customFormat="1" ht="27" customHeight="1">
      <c r="A59" s="954" t="s">
        <v>60</v>
      </c>
      <c r="B59" s="923" t="s">
        <v>100</v>
      </c>
      <c r="C59" s="1884"/>
      <c r="D59" s="1885"/>
      <c r="E59" s="1885"/>
      <c r="F59" s="1885"/>
      <c r="G59" s="1885"/>
      <c r="H59" s="1885"/>
      <c r="I59" s="1885"/>
      <c r="J59" s="1885"/>
      <c r="K59" s="1885"/>
      <c r="L59" s="1885"/>
      <c r="M59" s="1885"/>
      <c r="N59" s="1886"/>
      <c r="O59" s="1886"/>
      <c r="P59" s="1887"/>
      <c r="Q59" s="744"/>
    </row>
    <row r="60" spans="1:97" s="606" customFormat="1" ht="19.149999999999999" customHeight="1">
      <c r="A60" s="955"/>
      <c r="B60" s="918" t="s">
        <v>40</v>
      </c>
      <c r="C60" s="946">
        <v>200</v>
      </c>
      <c r="D60" s="946"/>
      <c r="E60" s="946">
        <f>C60+D60</f>
        <v>200</v>
      </c>
      <c r="F60" s="946"/>
      <c r="G60" s="946">
        <f>E60+F60</f>
        <v>200</v>
      </c>
      <c r="H60" s="946"/>
      <c r="I60" s="946">
        <f>G60+H60</f>
        <v>200</v>
      </c>
      <c r="J60" s="946"/>
      <c r="K60" s="946">
        <f>I60+J60</f>
        <v>200</v>
      </c>
      <c r="L60" s="946">
        <v>0</v>
      </c>
      <c r="M60" s="1551">
        <f>L60/K60</f>
        <v>0</v>
      </c>
      <c r="N60" s="946">
        <v>0</v>
      </c>
      <c r="O60" s="946">
        <v>200</v>
      </c>
      <c r="P60" s="947">
        <v>0</v>
      </c>
      <c r="Q60" s="744">
        <f t="shared" si="1"/>
        <v>200</v>
      </c>
    </row>
    <row r="61" spans="1:97" s="606" customFormat="1" ht="21" customHeight="1">
      <c r="A61" s="955"/>
      <c r="B61" s="918" t="s">
        <v>303</v>
      </c>
      <c r="C61" s="946">
        <v>50</v>
      </c>
      <c r="D61" s="946"/>
      <c r="E61" s="946">
        <f>C61+D61</f>
        <v>50</v>
      </c>
      <c r="F61" s="946"/>
      <c r="G61" s="946">
        <f>E61+F61</f>
        <v>50</v>
      </c>
      <c r="H61" s="946"/>
      <c r="I61" s="946">
        <f>G61+H61</f>
        <v>50</v>
      </c>
      <c r="J61" s="946"/>
      <c r="K61" s="946">
        <f>I61+J61</f>
        <v>50</v>
      </c>
      <c r="L61" s="946">
        <v>0</v>
      </c>
      <c r="M61" s="1551">
        <f t="shared" ref="M61:M65" si="18">L61/K61</f>
        <v>0</v>
      </c>
      <c r="N61" s="946">
        <v>0</v>
      </c>
      <c r="O61" s="946">
        <v>50</v>
      </c>
      <c r="P61" s="947">
        <v>0</v>
      </c>
      <c r="Q61" s="744">
        <f t="shared" si="1"/>
        <v>50</v>
      </c>
    </row>
    <row r="62" spans="1:97" s="606" customFormat="1" ht="19.149999999999999" customHeight="1">
      <c r="A62" s="955"/>
      <c r="B62" s="918" t="s">
        <v>132</v>
      </c>
      <c r="C62" s="946">
        <v>0</v>
      </c>
      <c r="D62" s="946"/>
      <c r="E62" s="946">
        <f>C62+D62</f>
        <v>0</v>
      </c>
      <c r="F62" s="946"/>
      <c r="G62" s="946">
        <f>E62+F62</f>
        <v>0</v>
      </c>
      <c r="H62" s="946"/>
      <c r="I62" s="946">
        <f>G62+H62</f>
        <v>0</v>
      </c>
      <c r="J62" s="946"/>
      <c r="K62" s="946">
        <f>I62+J62</f>
        <v>0</v>
      </c>
      <c r="L62" s="946">
        <v>0</v>
      </c>
      <c r="M62" s="1551"/>
      <c r="N62" s="946">
        <v>0</v>
      </c>
      <c r="O62" s="946">
        <v>0</v>
      </c>
      <c r="P62" s="947">
        <v>0</v>
      </c>
      <c r="Q62" s="744">
        <f t="shared" si="1"/>
        <v>0</v>
      </c>
    </row>
    <row r="63" spans="1:97" s="606" customFormat="1" ht="19.149999999999999" customHeight="1">
      <c r="A63" s="955"/>
      <c r="B63" s="918" t="s">
        <v>42</v>
      </c>
      <c r="C63" s="946">
        <v>0</v>
      </c>
      <c r="D63" s="946"/>
      <c r="E63" s="946">
        <f>C63+D63</f>
        <v>0</v>
      </c>
      <c r="F63" s="946"/>
      <c r="G63" s="946">
        <f>E63+F63</f>
        <v>0</v>
      </c>
      <c r="H63" s="946"/>
      <c r="I63" s="946">
        <f>G63+H63</f>
        <v>0</v>
      </c>
      <c r="J63" s="946"/>
      <c r="K63" s="946">
        <f>I63+J63</f>
        <v>0</v>
      </c>
      <c r="L63" s="946">
        <v>0</v>
      </c>
      <c r="M63" s="1551"/>
      <c r="N63" s="946">
        <v>0</v>
      </c>
      <c r="O63" s="946">
        <v>0</v>
      </c>
      <c r="P63" s="947">
        <v>0</v>
      </c>
      <c r="Q63" s="744">
        <f t="shared" si="1"/>
        <v>0</v>
      </c>
    </row>
    <row r="64" spans="1:97" s="606" customFormat="1" ht="19.149999999999999" customHeight="1">
      <c r="A64" s="955"/>
      <c r="B64" s="918" t="s">
        <v>361</v>
      </c>
      <c r="C64" s="946">
        <v>0</v>
      </c>
      <c r="D64" s="946"/>
      <c r="E64" s="946">
        <f>C64+D64</f>
        <v>0</v>
      </c>
      <c r="F64" s="946"/>
      <c r="G64" s="946">
        <f>E64+F64</f>
        <v>0</v>
      </c>
      <c r="H64" s="946"/>
      <c r="I64" s="946">
        <f>G64+H64</f>
        <v>0</v>
      </c>
      <c r="J64" s="946"/>
      <c r="K64" s="946">
        <f>I64+J64</f>
        <v>0</v>
      </c>
      <c r="L64" s="946">
        <v>0</v>
      </c>
      <c r="M64" s="1551"/>
      <c r="N64" s="946">
        <v>0</v>
      </c>
      <c r="O64" s="946">
        <v>0</v>
      </c>
      <c r="P64" s="947">
        <v>0</v>
      </c>
      <c r="Q64" s="744">
        <f t="shared" si="1"/>
        <v>0</v>
      </c>
    </row>
    <row r="65" spans="1:113" s="602" customFormat="1" ht="21" customHeight="1" thickBot="1">
      <c r="A65" s="956"/>
      <c r="B65" s="921" t="s">
        <v>362</v>
      </c>
      <c r="C65" s="952">
        <f t="shared" ref="C65:P65" si="19">SUM(C60:C64)</f>
        <v>250</v>
      </c>
      <c r="D65" s="952">
        <f t="shared" si="19"/>
        <v>0</v>
      </c>
      <c r="E65" s="952">
        <f t="shared" si="19"/>
        <v>250</v>
      </c>
      <c r="F65" s="952">
        <f t="shared" si="19"/>
        <v>0</v>
      </c>
      <c r="G65" s="952">
        <f t="shared" si="19"/>
        <v>250</v>
      </c>
      <c r="H65" s="952">
        <f>SUM(H60:H64)</f>
        <v>0</v>
      </c>
      <c r="I65" s="952">
        <f>SUM(I60:I64)</f>
        <v>250</v>
      </c>
      <c r="J65" s="952">
        <f>SUM(J60:J64)</f>
        <v>0</v>
      </c>
      <c r="K65" s="952">
        <f>SUM(K60:K64)</f>
        <v>250</v>
      </c>
      <c r="L65" s="952">
        <f>SUM(L60:L64)</f>
        <v>0</v>
      </c>
      <c r="M65" s="1552">
        <f t="shared" si="18"/>
        <v>0</v>
      </c>
      <c r="N65" s="952">
        <f t="shared" si="19"/>
        <v>0</v>
      </c>
      <c r="O65" s="952">
        <f t="shared" si="19"/>
        <v>250</v>
      </c>
      <c r="P65" s="953">
        <f t="shared" si="19"/>
        <v>0</v>
      </c>
      <c r="Q65" s="745">
        <f t="shared" si="1"/>
        <v>250</v>
      </c>
    </row>
    <row r="66" spans="1:113" s="524" customFormat="1" ht="31.15" customHeight="1" thickBot="1">
      <c r="A66" s="939" t="s">
        <v>277</v>
      </c>
      <c r="B66" s="922" t="s">
        <v>101</v>
      </c>
      <c r="C66" s="1882"/>
      <c r="D66" s="1883"/>
      <c r="E66" s="1883"/>
      <c r="F66" s="1883"/>
      <c r="G66" s="1883"/>
      <c r="H66" s="1883"/>
      <c r="I66" s="1883"/>
      <c r="J66" s="1883"/>
      <c r="K66" s="1883"/>
      <c r="L66" s="1883"/>
      <c r="M66" s="1883"/>
      <c r="N66" s="1876"/>
      <c r="O66" s="1876"/>
      <c r="P66" s="1877"/>
      <c r="Q66" s="744"/>
      <c r="R66" s="523"/>
      <c r="S66" s="523"/>
      <c r="T66" s="523"/>
      <c r="U66" s="523"/>
      <c r="V66" s="523"/>
      <c r="W66" s="523"/>
      <c r="X66" s="523"/>
      <c r="Y66" s="523"/>
      <c r="Z66" s="523"/>
      <c r="AA66" s="523"/>
      <c r="AB66" s="523"/>
      <c r="AC66" s="523"/>
      <c r="AD66" s="523"/>
      <c r="AE66" s="523"/>
      <c r="AF66" s="523"/>
      <c r="AG66" s="523"/>
      <c r="AH66" s="523"/>
      <c r="AI66" s="523"/>
      <c r="AJ66" s="523"/>
      <c r="AK66" s="523"/>
      <c r="AL66" s="523"/>
      <c r="AM66" s="523"/>
      <c r="AN66" s="523"/>
      <c r="AO66" s="523"/>
      <c r="AP66" s="523"/>
      <c r="AQ66" s="523"/>
      <c r="AR66" s="523"/>
      <c r="AS66" s="523"/>
      <c r="AT66" s="523"/>
      <c r="AU66" s="523"/>
      <c r="AV66" s="523"/>
      <c r="AW66" s="523"/>
      <c r="AX66" s="523"/>
      <c r="AY66" s="523"/>
      <c r="AZ66" s="523"/>
      <c r="BA66" s="523"/>
      <c r="BB66" s="523"/>
      <c r="BC66" s="523"/>
      <c r="BD66" s="523"/>
      <c r="BE66" s="523"/>
      <c r="BF66" s="523"/>
      <c r="BG66" s="523"/>
      <c r="BH66" s="523"/>
      <c r="BI66" s="523"/>
      <c r="BJ66" s="523"/>
      <c r="BK66" s="523"/>
      <c r="BL66" s="523"/>
      <c r="BM66" s="523"/>
      <c r="BN66" s="523"/>
      <c r="BO66" s="523"/>
      <c r="BP66" s="523"/>
      <c r="BQ66" s="523"/>
      <c r="BR66" s="523"/>
      <c r="BS66" s="523"/>
      <c r="BT66" s="523"/>
      <c r="BU66" s="523"/>
      <c r="BV66" s="523"/>
      <c r="BW66" s="523"/>
      <c r="BX66" s="523"/>
      <c r="BY66" s="523"/>
      <c r="BZ66" s="523"/>
      <c r="CA66" s="523"/>
      <c r="CB66" s="523"/>
      <c r="CC66" s="523"/>
      <c r="CD66" s="523"/>
      <c r="CE66" s="523"/>
      <c r="CF66" s="523"/>
      <c r="CG66" s="523"/>
      <c r="CH66" s="523"/>
      <c r="CI66" s="523"/>
      <c r="CJ66" s="523"/>
      <c r="CK66" s="523"/>
      <c r="CL66" s="523"/>
      <c r="CM66" s="523"/>
      <c r="CN66" s="523"/>
      <c r="CO66" s="523"/>
      <c r="CP66" s="523"/>
      <c r="CQ66" s="523"/>
      <c r="CR66" s="523"/>
      <c r="CS66" s="523"/>
      <c r="CT66" s="523"/>
      <c r="CU66" s="523"/>
      <c r="CV66" s="523"/>
      <c r="CW66" s="523"/>
      <c r="CX66" s="523"/>
      <c r="CY66" s="523"/>
      <c r="CZ66" s="523"/>
      <c r="DA66" s="523"/>
      <c r="DB66" s="523"/>
      <c r="DC66" s="523"/>
      <c r="DD66" s="523"/>
      <c r="DE66" s="523"/>
      <c r="DF66" s="523"/>
      <c r="DG66" s="523"/>
      <c r="DH66" s="523"/>
      <c r="DI66" s="523"/>
    </row>
    <row r="67" spans="1:113" s="520" customFormat="1" ht="27" customHeight="1">
      <c r="A67" s="950" t="s">
        <v>60</v>
      </c>
      <c r="B67" s="925" t="s">
        <v>104</v>
      </c>
      <c r="C67" s="1878"/>
      <c r="D67" s="1879"/>
      <c r="E67" s="1879"/>
      <c r="F67" s="1879"/>
      <c r="G67" s="1879"/>
      <c r="H67" s="1879"/>
      <c r="I67" s="1879"/>
      <c r="J67" s="1879"/>
      <c r="K67" s="1879"/>
      <c r="L67" s="1879"/>
      <c r="M67" s="1879"/>
      <c r="N67" s="1880"/>
      <c r="O67" s="1880"/>
      <c r="P67" s="1881"/>
      <c r="Q67" s="744"/>
    </row>
    <row r="68" spans="1:113" s="520" customFormat="1" ht="19.149999999999999" customHeight="1">
      <c r="A68" s="957"/>
      <c r="B68" s="918" t="s">
        <v>40</v>
      </c>
      <c r="C68" s="946">
        <v>130</v>
      </c>
      <c r="D68" s="946"/>
      <c r="E68" s="946">
        <f>C68+D68</f>
        <v>130</v>
      </c>
      <c r="F68" s="946"/>
      <c r="G68" s="946">
        <f>E68+F68</f>
        <v>130</v>
      </c>
      <c r="H68" s="946"/>
      <c r="I68" s="946">
        <f>G68+H68</f>
        <v>130</v>
      </c>
      <c r="J68" s="946">
        <v>82</v>
      </c>
      <c r="K68" s="946">
        <f>I68+J68</f>
        <v>212</v>
      </c>
      <c r="L68" s="946">
        <v>95</v>
      </c>
      <c r="M68" s="1551">
        <f>L68/K68</f>
        <v>0.44811320754716982</v>
      </c>
      <c r="N68" s="946">
        <v>212</v>
      </c>
      <c r="O68" s="946">
        <v>0</v>
      </c>
      <c r="P68" s="947">
        <v>0</v>
      </c>
      <c r="Q68" s="744">
        <f t="shared" ref="Q68:Q93" si="20">N68+O68+P68</f>
        <v>212</v>
      </c>
    </row>
    <row r="69" spans="1:113" s="520" customFormat="1" ht="21" customHeight="1">
      <c r="A69" s="957"/>
      <c r="B69" s="918" t="s">
        <v>303</v>
      </c>
      <c r="C69" s="946">
        <v>32</v>
      </c>
      <c r="D69" s="946"/>
      <c r="E69" s="946">
        <f>C69+D69</f>
        <v>32</v>
      </c>
      <c r="F69" s="946"/>
      <c r="G69" s="946">
        <f>E69+F69</f>
        <v>32</v>
      </c>
      <c r="H69" s="946"/>
      <c r="I69" s="946">
        <f>G69+H69</f>
        <v>32</v>
      </c>
      <c r="J69" s="946"/>
      <c r="K69" s="946">
        <f>I69+J69</f>
        <v>32</v>
      </c>
      <c r="L69" s="946">
        <v>20</v>
      </c>
      <c r="M69" s="1551">
        <f t="shared" ref="M69:M73" si="21">L69/K69</f>
        <v>0.625</v>
      </c>
      <c r="N69" s="946">
        <v>32</v>
      </c>
      <c r="O69" s="946">
        <v>0</v>
      </c>
      <c r="P69" s="947">
        <v>0</v>
      </c>
      <c r="Q69" s="744">
        <f t="shared" si="20"/>
        <v>32</v>
      </c>
    </row>
    <row r="70" spans="1:113" s="520" customFormat="1" ht="19.149999999999999" customHeight="1">
      <c r="A70" s="957"/>
      <c r="B70" s="918" t="s">
        <v>132</v>
      </c>
      <c r="C70" s="946">
        <v>500</v>
      </c>
      <c r="D70" s="946"/>
      <c r="E70" s="946">
        <f>C70+D70</f>
        <v>500</v>
      </c>
      <c r="F70" s="946"/>
      <c r="G70" s="946">
        <f>E70+F70</f>
        <v>500</v>
      </c>
      <c r="H70" s="946"/>
      <c r="I70" s="946">
        <f>G70+H70</f>
        <v>500</v>
      </c>
      <c r="J70" s="946"/>
      <c r="K70" s="946">
        <f>I70+J70</f>
        <v>500</v>
      </c>
      <c r="L70" s="946">
        <v>62</v>
      </c>
      <c r="M70" s="1551">
        <f t="shared" si="21"/>
        <v>0.124</v>
      </c>
      <c r="N70" s="946">
        <v>500</v>
      </c>
      <c r="O70" s="946">
        <v>0</v>
      </c>
      <c r="P70" s="947">
        <v>0</v>
      </c>
      <c r="Q70" s="744">
        <f t="shared" si="20"/>
        <v>500</v>
      </c>
    </row>
    <row r="71" spans="1:113" s="520" customFormat="1" ht="19.149999999999999" customHeight="1">
      <c r="A71" s="957"/>
      <c r="B71" s="918" t="s">
        <v>42</v>
      </c>
      <c r="C71" s="946">
        <v>0</v>
      </c>
      <c r="D71" s="946"/>
      <c r="E71" s="946">
        <f>C71+D71</f>
        <v>0</v>
      </c>
      <c r="F71" s="946"/>
      <c r="G71" s="946">
        <f>E71+F71</f>
        <v>0</v>
      </c>
      <c r="H71" s="946"/>
      <c r="I71" s="946">
        <f>G71+H71</f>
        <v>0</v>
      </c>
      <c r="J71" s="946"/>
      <c r="K71" s="946">
        <f>I71+J71</f>
        <v>0</v>
      </c>
      <c r="L71" s="946"/>
      <c r="M71" s="1551"/>
      <c r="N71" s="946">
        <v>0</v>
      </c>
      <c r="O71" s="946">
        <v>0</v>
      </c>
      <c r="P71" s="947">
        <v>0</v>
      </c>
      <c r="Q71" s="744">
        <f t="shared" si="20"/>
        <v>0</v>
      </c>
    </row>
    <row r="72" spans="1:113" s="520" customFormat="1" ht="19.149999999999999" customHeight="1">
      <c r="A72" s="957"/>
      <c r="B72" s="918" t="s">
        <v>361</v>
      </c>
      <c r="C72" s="946">
        <v>0</v>
      </c>
      <c r="D72" s="946"/>
      <c r="E72" s="946">
        <f>C72+D72</f>
        <v>0</v>
      </c>
      <c r="F72" s="946"/>
      <c r="G72" s="946">
        <f>E72+F72</f>
        <v>0</v>
      </c>
      <c r="H72" s="946"/>
      <c r="I72" s="946">
        <f>G72+H72</f>
        <v>0</v>
      </c>
      <c r="J72" s="946"/>
      <c r="K72" s="946">
        <f>I72+J72</f>
        <v>0</v>
      </c>
      <c r="L72" s="946"/>
      <c r="M72" s="1551"/>
      <c r="N72" s="946">
        <v>0</v>
      </c>
      <c r="O72" s="946">
        <v>0</v>
      </c>
      <c r="P72" s="947">
        <v>0</v>
      </c>
      <c r="Q72" s="744">
        <f t="shared" si="20"/>
        <v>0</v>
      </c>
    </row>
    <row r="73" spans="1:113" s="522" customFormat="1" ht="21" customHeight="1">
      <c r="A73" s="958"/>
      <c r="B73" s="919" t="s">
        <v>362</v>
      </c>
      <c r="C73" s="948">
        <f t="shared" ref="C73:L73" si="22">SUM(C68:C72)</f>
        <v>662</v>
      </c>
      <c r="D73" s="948">
        <f t="shared" si="22"/>
        <v>0</v>
      </c>
      <c r="E73" s="948">
        <f t="shared" si="22"/>
        <v>662</v>
      </c>
      <c r="F73" s="948">
        <f t="shared" si="22"/>
        <v>0</v>
      </c>
      <c r="G73" s="948">
        <f t="shared" si="22"/>
        <v>662</v>
      </c>
      <c r="H73" s="948">
        <f t="shared" si="22"/>
        <v>0</v>
      </c>
      <c r="I73" s="948">
        <f t="shared" si="22"/>
        <v>662</v>
      </c>
      <c r="J73" s="948">
        <f t="shared" si="22"/>
        <v>82</v>
      </c>
      <c r="K73" s="948">
        <f t="shared" si="22"/>
        <v>744</v>
      </c>
      <c r="L73" s="948">
        <f t="shared" si="22"/>
        <v>177</v>
      </c>
      <c r="M73" s="1552">
        <f t="shared" si="21"/>
        <v>0.23790322580645162</v>
      </c>
      <c r="N73" s="948">
        <f>SUM( N68:N72 N68:N72)</f>
        <v>744</v>
      </c>
      <c r="O73" s="948">
        <f>SUM( O68:O72 O68:O72)</f>
        <v>0</v>
      </c>
      <c r="P73" s="949">
        <f>SUM( P68:P72 P68:P72)</f>
        <v>0</v>
      </c>
      <c r="Q73" s="745">
        <f t="shared" si="20"/>
        <v>744</v>
      </c>
    </row>
    <row r="74" spans="1:113" s="520" customFormat="1" ht="29.45" customHeight="1">
      <c r="A74" s="935" t="s">
        <v>61</v>
      </c>
      <c r="B74" s="920" t="s">
        <v>508</v>
      </c>
      <c r="C74" s="1888"/>
      <c r="D74" s="1889"/>
      <c r="E74" s="1889"/>
      <c r="F74" s="1889"/>
      <c r="G74" s="1889"/>
      <c r="H74" s="1889"/>
      <c r="I74" s="1889"/>
      <c r="J74" s="1889"/>
      <c r="K74" s="1889"/>
      <c r="L74" s="1889"/>
      <c r="M74" s="1889"/>
      <c r="N74" s="1890"/>
      <c r="O74" s="1890"/>
      <c r="P74" s="1891"/>
      <c r="Q74" s="744"/>
    </row>
    <row r="75" spans="1:113" s="520" customFormat="1" ht="19.149999999999999" customHeight="1">
      <c r="A75" s="957"/>
      <c r="B75" s="918" t="s">
        <v>40</v>
      </c>
      <c r="C75" s="946">
        <v>1658</v>
      </c>
      <c r="D75" s="946"/>
      <c r="E75" s="946">
        <v>0</v>
      </c>
      <c r="F75" s="946"/>
      <c r="G75" s="946">
        <f>E75+F75</f>
        <v>0</v>
      </c>
      <c r="H75" s="946"/>
      <c r="I75" s="946">
        <f>G75+H75</f>
        <v>0</v>
      </c>
      <c r="J75" s="946"/>
      <c r="K75" s="946">
        <f>I75+J75</f>
        <v>0</v>
      </c>
      <c r="L75" s="946">
        <v>0</v>
      </c>
      <c r="M75" s="1551"/>
      <c r="N75" s="946">
        <v>0</v>
      </c>
      <c r="O75" s="946">
        <v>0</v>
      </c>
      <c r="P75" s="947">
        <v>0</v>
      </c>
      <c r="Q75" s="744">
        <f t="shared" si="20"/>
        <v>0</v>
      </c>
    </row>
    <row r="76" spans="1:113" s="520" customFormat="1" ht="21" customHeight="1">
      <c r="A76" s="957"/>
      <c r="B76" s="918" t="s">
        <v>303</v>
      </c>
      <c r="C76" s="946">
        <v>447</v>
      </c>
      <c r="D76" s="946"/>
      <c r="E76" s="946">
        <v>0</v>
      </c>
      <c r="F76" s="946"/>
      <c r="G76" s="946">
        <f>E76+F76</f>
        <v>0</v>
      </c>
      <c r="H76" s="946"/>
      <c r="I76" s="946">
        <f>G76+H76</f>
        <v>0</v>
      </c>
      <c r="J76" s="946"/>
      <c r="K76" s="946">
        <f>I76+J76</f>
        <v>0</v>
      </c>
      <c r="L76" s="946">
        <v>0</v>
      </c>
      <c r="M76" s="1551"/>
      <c r="N76" s="946">
        <v>0</v>
      </c>
      <c r="O76" s="946">
        <v>0</v>
      </c>
      <c r="P76" s="947">
        <v>0</v>
      </c>
      <c r="Q76" s="744">
        <f t="shared" si="20"/>
        <v>0</v>
      </c>
    </row>
    <row r="77" spans="1:113" s="520" customFormat="1" ht="19.149999999999999" customHeight="1">
      <c r="A77" s="957"/>
      <c r="B77" s="918" t="s">
        <v>132</v>
      </c>
      <c r="C77" s="946">
        <v>37395</v>
      </c>
      <c r="D77" s="946"/>
      <c r="E77" s="946">
        <v>0</v>
      </c>
      <c r="F77" s="946"/>
      <c r="G77" s="946">
        <f>E77+F77</f>
        <v>0</v>
      </c>
      <c r="H77" s="946"/>
      <c r="I77" s="946">
        <f>G77+H77</f>
        <v>0</v>
      </c>
      <c r="J77" s="946"/>
      <c r="K77" s="946">
        <f>I77+J77</f>
        <v>0</v>
      </c>
      <c r="L77" s="946">
        <v>0</v>
      </c>
      <c r="M77" s="1551"/>
      <c r="N77" s="946">
        <v>0</v>
      </c>
      <c r="O77" s="946">
        <v>0</v>
      </c>
      <c r="P77" s="947">
        <v>0</v>
      </c>
      <c r="Q77" s="744">
        <f t="shared" si="20"/>
        <v>0</v>
      </c>
    </row>
    <row r="78" spans="1:113" s="520" customFormat="1" ht="19.149999999999999" customHeight="1">
      <c r="A78" s="957"/>
      <c r="B78" s="918" t="s">
        <v>42</v>
      </c>
      <c r="C78" s="946">
        <v>0</v>
      </c>
      <c r="D78" s="946"/>
      <c r="E78" s="946">
        <f>C78+D78</f>
        <v>0</v>
      </c>
      <c r="F78" s="946"/>
      <c r="G78" s="946">
        <f>E78+F78</f>
        <v>0</v>
      </c>
      <c r="H78" s="946"/>
      <c r="I78" s="946">
        <f>G78+H78</f>
        <v>0</v>
      </c>
      <c r="J78" s="946"/>
      <c r="K78" s="946">
        <f>I78+J78</f>
        <v>0</v>
      </c>
      <c r="L78" s="946">
        <v>0</v>
      </c>
      <c r="M78" s="1551"/>
      <c r="N78" s="946">
        <v>0</v>
      </c>
      <c r="O78" s="946">
        <f>C78</f>
        <v>0</v>
      </c>
      <c r="P78" s="947">
        <v>0</v>
      </c>
      <c r="Q78" s="744">
        <f t="shared" si="20"/>
        <v>0</v>
      </c>
    </row>
    <row r="79" spans="1:113" s="520" customFormat="1" ht="19.149999999999999" customHeight="1">
      <c r="A79" s="957"/>
      <c r="B79" s="918" t="s">
        <v>361</v>
      </c>
      <c r="C79" s="946">
        <v>0</v>
      </c>
      <c r="D79" s="946"/>
      <c r="E79" s="946">
        <f>C79+D79</f>
        <v>0</v>
      </c>
      <c r="F79" s="946"/>
      <c r="G79" s="946">
        <f>E79+F79</f>
        <v>0</v>
      </c>
      <c r="H79" s="946"/>
      <c r="I79" s="946">
        <f>G79+H79</f>
        <v>0</v>
      </c>
      <c r="J79" s="946"/>
      <c r="K79" s="946">
        <f>I79+J79</f>
        <v>0</v>
      </c>
      <c r="L79" s="946">
        <v>0</v>
      </c>
      <c r="M79" s="1551"/>
      <c r="N79" s="946">
        <v>0</v>
      </c>
      <c r="O79" s="946">
        <f>C79</f>
        <v>0</v>
      </c>
      <c r="P79" s="947">
        <v>0</v>
      </c>
      <c r="Q79" s="744">
        <f t="shared" si="20"/>
        <v>0</v>
      </c>
    </row>
    <row r="80" spans="1:113" s="522" customFormat="1" ht="21" customHeight="1" thickBot="1">
      <c r="A80" s="959"/>
      <c r="B80" s="924" t="s">
        <v>362</v>
      </c>
      <c r="C80" s="960">
        <f t="shared" ref="C80:N80" si="23">SUM(C75:C79)</f>
        <v>39500</v>
      </c>
      <c r="D80" s="960">
        <f t="shared" si="23"/>
        <v>0</v>
      </c>
      <c r="E80" s="960">
        <f t="shared" si="23"/>
        <v>0</v>
      </c>
      <c r="F80" s="960">
        <f t="shared" si="23"/>
        <v>0</v>
      </c>
      <c r="G80" s="960">
        <f t="shared" si="23"/>
        <v>0</v>
      </c>
      <c r="H80" s="960">
        <f>SUM(H75:H79)</f>
        <v>0</v>
      </c>
      <c r="I80" s="960">
        <f>SUM(I75:I79)</f>
        <v>0</v>
      </c>
      <c r="J80" s="960">
        <f>SUM(J75:J79)</f>
        <v>0</v>
      </c>
      <c r="K80" s="960">
        <f>SUM(K75:K79)</f>
        <v>0</v>
      </c>
      <c r="L80" s="960">
        <f>SUM(L75:L79)</f>
        <v>0</v>
      </c>
      <c r="M80" s="1552"/>
      <c r="N80" s="960">
        <f t="shared" si="23"/>
        <v>0</v>
      </c>
      <c r="O80" s="948">
        <v>0</v>
      </c>
      <c r="P80" s="961">
        <f>SUM(P75:P79)</f>
        <v>0</v>
      </c>
      <c r="Q80" s="745">
        <f t="shared" si="20"/>
        <v>0</v>
      </c>
    </row>
    <row r="81" spans="1:18" s="521" customFormat="1" ht="33" customHeight="1" thickBot="1">
      <c r="A81" s="1868" t="s">
        <v>108</v>
      </c>
      <c r="B81" s="1869"/>
      <c r="C81" s="1874"/>
      <c r="D81" s="1875"/>
      <c r="E81" s="1875"/>
      <c r="F81" s="1875"/>
      <c r="G81" s="1875"/>
      <c r="H81" s="1875"/>
      <c r="I81" s="1875"/>
      <c r="J81" s="1875"/>
      <c r="K81" s="1875"/>
      <c r="L81" s="1875"/>
      <c r="M81" s="1875"/>
      <c r="N81" s="1876"/>
      <c r="O81" s="1876"/>
      <c r="P81" s="1877"/>
      <c r="Q81" s="744"/>
    </row>
    <row r="82" spans="1:18" s="520" customFormat="1" ht="21" customHeight="1">
      <c r="A82" s="962"/>
      <c r="B82" s="926" t="s">
        <v>40</v>
      </c>
      <c r="C82" s="963">
        <f t="shared" ref="C82:O87" si="24">C5+C12+C20+C28++C35+C43+C52+C60+C68+C75</f>
        <v>255728</v>
      </c>
      <c r="D82" s="963">
        <f t="shared" si="24"/>
        <v>17438</v>
      </c>
      <c r="E82" s="963">
        <f t="shared" si="24"/>
        <v>271842</v>
      </c>
      <c r="F82" s="963">
        <f t="shared" si="24"/>
        <v>19355</v>
      </c>
      <c r="G82" s="963">
        <f t="shared" si="24"/>
        <v>291197</v>
      </c>
      <c r="H82" s="963">
        <f t="shared" ref="H82:K87" si="25">H5+H12+H20+H28+H35+H43+H52+H60+H68+H75</f>
        <v>-64</v>
      </c>
      <c r="I82" s="963">
        <f t="shared" si="25"/>
        <v>291133</v>
      </c>
      <c r="J82" s="963">
        <f t="shared" si="25"/>
        <v>53</v>
      </c>
      <c r="K82" s="963">
        <f>K5+K12+K20+K28+K35+K43+K52+K60+K68+K75</f>
        <v>291186</v>
      </c>
      <c r="L82" s="963">
        <f>L5+L12+L20+L28++L35+L43+L52+L60+L68+L75</f>
        <v>264925</v>
      </c>
      <c r="M82" s="1551">
        <f>L82/K82</f>
        <v>0.90981365862369756</v>
      </c>
      <c r="N82" s="963">
        <f>N5+N12+N20+N28+N35+N43+N52+N60+N68+N75</f>
        <v>213311.75</v>
      </c>
      <c r="O82" s="963">
        <f>O5+O12+O20+O28+O35+O43+O52+O60+O68+O75</f>
        <v>77874</v>
      </c>
      <c r="P82" s="964">
        <f>P5+P12+P20+P28+P35+P43+P52+P60+P68</f>
        <v>0</v>
      </c>
      <c r="Q82" s="744">
        <f t="shared" si="20"/>
        <v>291185.75</v>
      </c>
      <c r="R82" s="1670"/>
    </row>
    <row r="83" spans="1:18" s="520" customFormat="1" ht="21" customHeight="1">
      <c r="A83" s="929"/>
      <c r="B83" s="918" t="s">
        <v>303</v>
      </c>
      <c r="C83" s="941">
        <f t="shared" si="24"/>
        <v>75263</v>
      </c>
      <c r="D83" s="941">
        <f t="shared" si="24"/>
        <v>9257</v>
      </c>
      <c r="E83" s="941">
        <f t="shared" si="24"/>
        <v>84137</v>
      </c>
      <c r="F83" s="941">
        <f t="shared" si="24"/>
        <v>724</v>
      </c>
      <c r="G83" s="941">
        <f t="shared" si="24"/>
        <v>84861</v>
      </c>
      <c r="H83" s="941">
        <f t="shared" si="25"/>
        <v>-72</v>
      </c>
      <c r="I83" s="941">
        <f t="shared" si="25"/>
        <v>84789</v>
      </c>
      <c r="J83" s="941">
        <f t="shared" si="25"/>
        <v>-61</v>
      </c>
      <c r="K83" s="963">
        <f t="shared" si="25"/>
        <v>84728</v>
      </c>
      <c r="L83" s="963">
        <f>L6+L13+L21+L29++L36+L44+L53+L61+L69+L76</f>
        <v>75385</v>
      </c>
      <c r="M83" s="1551">
        <f t="shared" ref="M83:M85" si="26">L83/K83</f>
        <v>0.88972948730053825</v>
      </c>
      <c r="N83" s="941">
        <f t="shared" si="24"/>
        <v>62495</v>
      </c>
      <c r="O83" s="941">
        <f t="shared" si="24"/>
        <v>22233</v>
      </c>
      <c r="P83" s="942">
        <f>P6+P13+P21+P29+P36+P44+P53+P61+P69</f>
        <v>0</v>
      </c>
      <c r="Q83" s="744">
        <f t="shared" si="20"/>
        <v>84728</v>
      </c>
    </row>
    <row r="84" spans="1:18" s="520" customFormat="1" ht="21" customHeight="1">
      <c r="A84" s="929"/>
      <c r="B84" s="918" t="s">
        <v>132</v>
      </c>
      <c r="C84" s="941">
        <f t="shared" si="24"/>
        <v>155690</v>
      </c>
      <c r="D84" s="941">
        <f t="shared" si="24"/>
        <v>33950</v>
      </c>
      <c r="E84" s="941">
        <f t="shared" si="24"/>
        <v>153610</v>
      </c>
      <c r="F84" s="941">
        <f t="shared" si="24"/>
        <v>3682</v>
      </c>
      <c r="G84" s="941">
        <f t="shared" si="24"/>
        <v>157292</v>
      </c>
      <c r="H84" s="941">
        <f t="shared" si="25"/>
        <v>-2200</v>
      </c>
      <c r="I84" s="941">
        <f t="shared" si="25"/>
        <v>155092</v>
      </c>
      <c r="J84" s="941">
        <f t="shared" si="25"/>
        <v>965</v>
      </c>
      <c r="K84" s="963">
        <f t="shared" si="25"/>
        <v>156057</v>
      </c>
      <c r="L84" s="963">
        <f>L7+L14+L22+L30++L37+L45+L54+L62+L70+L77</f>
        <v>91310</v>
      </c>
      <c r="M84" s="1551">
        <f t="shared" si="26"/>
        <v>0.58510672382526896</v>
      </c>
      <c r="N84" s="941">
        <f t="shared" si="24"/>
        <v>118052.5</v>
      </c>
      <c r="O84" s="941">
        <f t="shared" si="24"/>
        <v>38004.5</v>
      </c>
      <c r="P84" s="942">
        <f>P7+P14+P22+P30+P37+P45+P54+P62+P70</f>
        <v>0</v>
      </c>
      <c r="Q84" s="744">
        <f t="shared" si="20"/>
        <v>156057</v>
      </c>
    </row>
    <row r="85" spans="1:18" s="520" customFormat="1" ht="21" customHeight="1">
      <c r="A85" s="929"/>
      <c r="B85" s="918" t="s">
        <v>42</v>
      </c>
      <c r="C85" s="941">
        <f t="shared" si="24"/>
        <v>387600</v>
      </c>
      <c r="D85" s="941">
        <f t="shared" si="24"/>
        <v>0</v>
      </c>
      <c r="E85" s="941">
        <f t="shared" si="24"/>
        <v>387600</v>
      </c>
      <c r="F85" s="941">
        <f t="shared" si="24"/>
        <v>0</v>
      </c>
      <c r="G85" s="941">
        <f t="shared" si="24"/>
        <v>387600</v>
      </c>
      <c r="H85" s="941">
        <f t="shared" si="25"/>
        <v>-145000</v>
      </c>
      <c r="I85" s="941">
        <f>I8+I15+I23+I31+I38+I46+I55+I63+I71+I78+150000</f>
        <v>542600</v>
      </c>
      <c r="J85" s="941">
        <f t="shared" si="25"/>
        <v>-20000</v>
      </c>
      <c r="K85" s="963">
        <f>K8+K15+K23+K31+K38+K46+K55+K63+K71+K78</f>
        <v>372600</v>
      </c>
      <c r="L85" s="963">
        <f>L8+L15+L23+L31++L38+L46+L55+L63+L71+L78</f>
        <v>220921</v>
      </c>
      <c r="M85" s="1551">
        <f t="shared" si="26"/>
        <v>0.59291733762748255</v>
      </c>
      <c r="N85" s="941">
        <f t="shared" si="24"/>
        <v>308412</v>
      </c>
      <c r="O85" s="941">
        <f t="shared" si="24"/>
        <v>64188</v>
      </c>
      <c r="P85" s="942">
        <f>P8+P15+P23+P31+P38+P46+P55+P63+P71</f>
        <v>0</v>
      </c>
      <c r="Q85" s="744">
        <f t="shared" si="20"/>
        <v>372600</v>
      </c>
    </row>
    <row r="86" spans="1:18" s="520" customFormat="1" ht="21" customHeight="1" thickBot="1">
      <c r="A86" s="965"/>
      <c r="B86" s="927" t="s">
        <v>361</v>
      </c>
      <c r="C86" s="966">
        <f t="shared" si="24"/>
        <v>47100</v>
      </c>
      <c r="D86" s="966">
        <f t="shared" si="24"/>
        <v>-47100</v>
      </c>
      <c r="E86" s="966">
        <f t="shared" si="24"/>
        <v>0</v>
      </c>
      <c r="F86" s="966">
        <f t="shared" si="24"/>
        <v>0</v>
      </c>
      <c r="G86" s="966">
        <f t="shared" si="24"/>
        <v>0</v>
      </c>
      <c r="H86" s="966">
        <f t="shared" si="25"/>
        <v>0</v>
      </c>
      <c r="I86" s="966">
        <f t="shared" si="25"/>
        <v>0</v>
      </c>
      <c r="J86" s="966">
        <f t="shared" si="25"/>
        <v>0</v>
      </c>
      <c r="K86" s="966">
        <f t="shared" si="25"/>
        <v>0</v>
      </c>
      <c r="L86" s="963">
        <f>L9+L16+L24+L32++L39+L47+L56+L64+L72+L79</f>
        <v>0</v>
      </c>
      <c r="M86" s="1555"/>
      <c r="N86" s="966">
        <f t="shared" si="24"/>
        <v>0</v>
      </c>
      <c r="O86" s="966">
        <f t="shared" si="24"/>
        <v>0</v>
      </c>
      <c r="P86" s="967">
        <f>P9+P16+P24+P32+P39+P47+P56+P64+P72</f>
        <v>0</v>
      </c>
      <c r="Q86" s="744">
        <f t="shared" si="20"/>
        <v>0</v>
      </c>
    </row>
    <row r="87" spans="1:18" s="522" customFormat="1" ht="33" customHeight="1" thickBot="1">
      <c r="A87" s="1866" t="s">
        <v>362</v>
      </c>
      <c r="B87" s="1867"/>
      <c r="C87" s="968">
        <f t="shared" si="24"/>
        <v>921381</v>
      </c>
      <c r="D87" s="968">
        <f t="shared" si="24"/>
        <v>13545</v>
      </c>
      <c r="E87" s="968">
        <f t="shared" si="24"/>
        <v>897189</v>
      </c>
      <c r="F87" s="968">
        <f t="shared" si="24"/>
        <v>23761</v>
      </c>
      <c r="G87" s="968">
        <f t="shared" si="24"/>
        <v>920950</v>
      </c>
      <c r="H87" s="968">
        <f t="shared" si="25"/>
        <v>-147336</v>
      </c>
      <c r="I87" s="968">
        <f>I10+I17+I25+I33+I40+I48+I57+I65+I73+I80+150000</f>
        <v>1073614</v>
      </c>
      <c r="J87" s="968">
        <f t="shared" si="25"/>
        <v>-19043</v>
      </c>
      <c r="K87" s="968">
        <f>K10+K17+K25+K33+K40+K48+K57+K65+K73+K80</f>
        <v>904571</v>
      </c>
      <c r="L87" s="968">
        <f>SUM(L82:L86)</f>
        <v>652541</v>
      </c>
      <c r="M87" s="1556">
        <f>L87/K87</f>
        <v>0.7213817378624785</v>
      </c>
      <c r="N87" s="968">
        <f>N10+N17+N25+N33++N40+N48+N57+N65+N73+N80</f>
        <v>702271.25</v>
      </c>
      <c r="O87" s="968">
        <f>O10+O17+O25+O33++O40+O48+O57+O65+O73+O80</f>
        <v>202299.5</v>
      </c>
      <c r="P87" s="969">
        <f>P10+P17+P25+P33++P40+P48+P57+P65+P73</f>
        <v>0</v>
      </c>
      <c r="Q87" s="745">
        <f t="shared" si="20"/>
        <v>904570.75</v>
      </c>
    </row>
    <row r="88" spans="1:18" s="520" customFormat="1" ht="21" customHeight="1">
      <c r="A88" s="962"/>
      <c r="B88" s="926" t="s">
        <v>363</v>
      </c>
      <c r="C88" s="963">
        <f>'10'!C53</f>
        <v>6000</v>
      </c>
      <c r="D88" s="963">
        <f>'10'!D53</f>
        <v>6179</v>
      </c>
      <c r="E88" s="963">
        <f>'10'!E53</f>
        <v>12179</v>
      </c>
      <c r="F88" s="963">
        <f>'10'!F53</f>
        <v>0</v>
      </c>
      <c r="G88" s="963">
        <f>'10'!G53</f>
        <v>12179</v>
      </c>
      <c r="H88" s="963">
        <f>'10'!H53</f>
        <v>13260</v>
      </c>
      <c r="I88" s="963">
        <f>'10'!I53</f>
        <v>25439</v>
      </c>
      <c r="J88" s="963">
        <f>'10'!J53</f>
        <v>0</v>
      </c>
      <c r="K88" s="963">
        <f>'10'!K53</f>
        <v>25439</v>
      </c>
      <c r="L88" s="963">
        <f>'10'!L53</f>
        <v>10268</v>
      </c>
      <c r="M88" s="1557">
        <f t="shared" ref="M88:M91" si="27">L88/K88</f>
        <v>0.40363221824757262</v>
      </c>
      <c r="N88" s="963">
        <f>'10'!N53</f>
        <v>11279</v>
      </c>
      <c r="O88" s="963">
        <f>'10'!O53</f>
        <v>14160</v>
      </c>
      <c r="P88" s="964">
        <f>'10'!P53</f>
        <v>0</v>
      </c>
      <c r="Q88" s="744">
        <f t="shared" si="20"/>
        <v>25439</v>
      </c>
    </row>
    <row r="89" spans="1:18" s="520" customFormat="1" ht="21" customHeight="1">
      <c r="A89" s="929"/>
      <c r="B89" s="918" t="s">
        <v>54</v>
      </c>
      <c r="C89" s="941">
        <f>'10'!C84</f>
        <v>4000</v>
      </c>
      <c r="D89" s="941">
        <f>'10'!D84</f>
        <v>26151</v>
      </c>
      <c r="E89" s="941">
        <f>'10'!E84</f>
        <v>30151</v>
      </c>
      <c r="F89" s="941">
        <f>'10'!F84</f>
        <v>0</v>
      </c>
      <c r="G89" s="941">
        <f>'10'!G84</f>
        <v>30151</v>
      </c>
      <c r="H89" s="941">
        <f>'10'!H84</f>
        <v>-3100</v>
      </c>
      <c r="I89" s="941">
        <f>'10'!I84</f>
        <v>27051</v>
      </c>
      <c r="J89" s="941">
        <f>'10'!J84</f>
        <v>-1890</v>
      </c>
      <c r="K89" s="941">
        <f>'10'!K84</f>
        <v>25161</v>
      </c>
      <c r="L89" s="941">
        <f>'10'!L84</f>
        <v>12570</v>
      </c>
      <c r="M89" s="1551">
        <f t="shared" si="27"/>
        <v>0.49958268749254797</v>
      </c>
      <c r="N89" s="941">
        <f>'10'!N84</f>
        <v>18870.75</v>
      </c>
      <c r="O89" s="941">
        <f>'10'!O84</f>
        <v>6290.25</v>
      </c>
      <c r="P89" s="942">
        <f>'10'!P84</f>
        <v>0</v>
      </c>
      <c r="Q89" s="744">
        <f t="shared" si="20"/>
        <v>25161</v>
      </c>
    </row>
    <row r="90" spans="1:18" s="520" customFormat="1" ht="21" customHeight="1">
      <c r="A90" s="929"/>
      <c r="B90" s="918" t="s">
        <v>364</v>
      </c>
      <c r="C90" s="941">
        <f t="shared" ref="C90:N90" si="28">C49</f>
        <v>21000</v>
      </c>
      <c r="D90" s="941">
        <f t="shared" si="28"/>
        <v>-17000</v>
      </c>
      <c r="E90" s="941">
        <f t="shared" si="28"/>
        <v>4000</v>
      </c>
      <c r="F90" s="941">
        <f t="shared" si="28"/>
        <v>0</v>
      </c>
      <c r="G90" s="941">
        <f t="shared" si="28"/>
        <v>4000</v>
      </c>
      <c r="H90" s="941">
        <f>H49</f>
        <v>0</v>
      </c>
      <c r="I90" s="941">
        <f>I49</f>
        <v>4000</v>
      </c>
      <c r="J90" s="941">
        <f>J49</f>
        <v>0</v>
      </c>
      <c r="K90" s="941">
        <f>K49</f>
        <v>4000</v>
      </c>
      <c r="L90" s="941">
        <f t="shared" ref="L90" si="29">L49</f>
        <v>0</v>
      </c>
      <c r="M90" s="1551">
        <f t="shared" si="27"/>
        <v>0</v>
      </c>
      <c r="N90" s="941">
        <f t="shared" si="28"/>
        <v>0</v>
      </c>
      <c r="O90" s="941">
        <v>4000</v>
      </c>
      <c r="P90" s="942">
        <f>P49</f>
        <v>0</v>
      </c>
      <c r="Q90" s="744">
        <f t="shared" si="20"/>
        <v>4000</v>
      </c>
    </row>
    <row r="91" spans="1:18" s="522" customFormat="1" ht="33" customHeight="1">
      <c r="A91" s="1864" t="s">
        <v>365</v>
      </c>
      <c r="B91" s="1865"/>
      <c r="C91" s="970">
        <f>C88+C89+C90</f>
        <v>31000</v>
      </c>
      <c r="D91" s="970">
        <f>SUM(D88:D90)</f>
        <v>15330</v>
      </c>
      <c r="E91" s="970">
        <f>E88+E89+E90</f>
        <v>46330</v>
      </c>
      <c r="F91" s="970">
        <f>F88+F89+F90</f>
        <v>0</v>
      </c>
      <c r="G91" s="970">
        <f>G88+G89+G90</f>
        <v>46330</v>
      </c>
      <c r="H91" s="970">
        <f>SUM(H88:H90)</f>
        <v>10160</v>
      </c>
      <c r="I91" s="970">
        <f>SUM(I88:I90)</f>
        <v>56490</v>
      </c>
      <c r="J91" s="970">
        <f>SUM(J88:J90)</f>
        <v>-1890</v>
      </c>
      <c r="K91" s="970">
        <f>SUM(K88:K90)</f>
        <v>54600</v>
      </c>
      <c r="L91" s="970">
        <f>SUM(L88:L90)</f>
        <v>22838</v>
      </c>
      <c r="M91" s="1552">
        <f t="shared" si="27"/>
        <v>0.41827838827838826</v>
      </c>
      <c r="N91" s="970">
        <f>N88+N89</f>
        <v>30149.75</v>
      </c>
      <c r="O91" s="970">
        <f>O88+O89+O90</f>
        <v>24450.25</v>
      </c>
      <c r="P91" s="971">
        <f>P50</f>
        <v>0</v>
      </c>
      <c r="Q91" s="745">
        <f t="shared" si="20"/>
        <v>54600</v>
      </c>
    </row>
    <row r="92" spans="1:18" s="520" customFormat="1" ht="21" customHeight="1" thickBot="1">
      <c r="A92" s="965"/>
      <c r="B92" s="927" t="s">
        <v>138</v>
      </c>
      <c r="C92" s="966">
        <v>0</v>
      </c>
      <c r="D92" s="966"/>
      <c r="E92" s="966"/>
      <c r="F92" s="966"/>
      <c r="G92" s="966"/>
      <c r="H92" s="966"/>
      <c r="I92" s="966"/>
      <c r="J92" s="966"/>
      <c r="K92" s="966"/>
      <c r="L92" s="966"/>
      <c r="M92" s="1555"/>
      <c r="N92" s="966">
        <v>0</v>
      </c>
      <c r="O92" s="966">
        <v>0</v>
      </c>
      <c r="P92" s="967">
        <f>P11+P18+P26+P34+P41+P51+P58+P66+P81</f>
        <v>0</v>
      </c>
      <c r="Q92" s="744">
        <f t="shared" si="20"/>
        <v>0</v>
      </c>
    </row>
    <row r="93" spans="1:18" s="521" customFormat="1" ht="33" customHeight="1" thickBot="1">
      <c r="A93" s="972"/>
      <c r="B93" s="928" t="s">
        <v>133</v>
      </c>
      <c r="C93" s="973">
        <f t="shared" ref="C93:O93" si="30">C87+C91+C92</f>
        <v>952381</v>
      </c>
      <c r="D93" s="973">
        <f t="shared" si="30"/>
        <v>28875</v>
      </c>
      <c r="E93" s="973">
        <f t="shared" si="30"/>
        <v>943519</v>
      </c>
      <c r="F93" s="973">
        <f t="shared" si="30"/>
        <v>23761</v>
      </c>
      <c r="G93" s="973">
        <f t="shared" si="30"/>
        <v>967280</v>
      </c>
      <c r="H93" s="973">
        <f>H87+H91+H92</f>
        <v>-137176</v>
      </c>
      <c r="I93" s="973">
        <f>I87+I91+I92</f>
        <v>1130104</v>
      </c>
      <c r="J93" s="973">
        <f>J87+J91+J92</f>
        <v>-20933</v>
      </c>
      <c r="K93" s="973">
        <f>K87+K91+K92</f>
        <v>959171</v>
      </c>
      <c r="L93" s="973">
        <f>L87+L91+L92</f>
        <v>675379</v>
      </c>
      <c r="M93" s="1558">
        <f>L93/K93</f>
        <v>0.70412783539118673</v>
      </c>
      <c r="N93" s="973">
        <f t="shared" si="30"/>
        <v>732421</v>
      </c>
      <c r="O93" s="973">
        <f t="shared" si="30"/>
        <v>226749.75</v>
      </c>
      <c r="P93" s="974"/>
      <c r="Q93" s="744">
        <f t="shared" si="20"/>
        <v>959170.75</v>
      </c>
    </row>
    <row r="94" spans="1:18" s="103" customFormat="1" ht="17.25" customHeight="1">
      <c r="A94" s="93"/>
      <c r="B94" s="127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9"/>
      <c r="O94" s="129"/>
      <c r="P94" s="129"/>
    </row>
    <row r="95" spans="1:18" s="103" customFormat="1" ht="17.25" customHeight="1">
      <c r="A95" s="93"/>
      <c r="B95" s="130"/>
      <c r="C95" s="129" t="s">
        <v>98</v>
      </c>
      <c r="D95" s="129"/>
      <c r="E95" s="129"/>
      <c r="F95" s="129"/>
      <c r="G95" s="129"/>
      <c r="H95" s="129"/>
      <c r="I95" s="129"/>
      <c r="J95" s="129"/>
      <c r="K95" s="129"/>
      <c r="L95" s="129"/>
      <c r="M95" s="129"/>
      <c r="N95" s="129" t="s">
        <v>98</v>
      </c>
      <c r="O95" s="129" t="s">
        <v>98</v>
      </c>
    </row>
    <row r="96" spans="1:18" s="103" customFormat="1" ht="17.25" customHeight="1">
      <c r="A96" s="93"/>
      <c r="B96" s="130"/>
      <c r="C96" s="129">
        <f>C93-'6'!C29</f>
        <v>0</v>
      </c>
      <c r="D96" s="129">
        <f>D93-'6'!D29</f>
        <v>0</v>
      </c>
      <c r="E96" s="129">
        <f>E93-'6'!E29</f>
        <v>-37737</v>
      </c>
      <c r="F96" s="129"/>
      <c r="G96" s="129" t="s">
        <v>98</v>
      </c>
      <c r="H96" s="129"/>
      <c r="I96" s="129"/>
      <c r="J96" s="129"/>
      <c r="K96" s="129"/>
      <c r="L96" s="129"/>
      <c r="M96" s="129"/>
      <c r="N96" s="129"/>
      <c r="O96" s="129"/>
      <c r="P96" s="129"/>
    </row>
    <row r="97" spans="1:16" ht="18.75" customHeight="1">
      <c r="B97" s="127"/>
    </row>
    <row r="98" spans="1:16" ht="18.75" customHeight="1"/>
    <row r="99" spans="1:16" ht="18.75" customHeight="1"/>
    <row r="100" spans="1:16" ht="18.75" customHeight="1"/>
    <row r="101" spans="1:16" ht="18.75" customHeight="1"/>
    <row r="102" spans="1:16" ht="18.75" customHeight="1">
      <c r="B102" s="127"/>
    </row>
    <row r="103" spans="1:16" s="103" customFormat="1" ht="51.75" customHeight="1">
      <c r="A103" s="93"/>
      <c r="B103" s="134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9"/>
      <c r="O103" s="129"/>
      <c r="P103" s="129"/>
    </row>
    <row r="104" spans="1:16" ht="27" customHeight="1"/>
    <row r="105" spans="1:16" ht="18.75" customHeight="1"/>
    <row r="106" spans="1:16" ht="18.75" customHeight="1"/>
  </sheetData>
  <mergeCells count="21">
    <mergeCell ref="C19:P19"/>
    <mergeCell ref="A1:P1"/>
    <mergeCell ref="C3:P3"/>
    <mergeCell ref="C67:P67"/>
    <mergeCell ref="C74:P74"/>
    <mergeCell ref="A91:B91"/>
    <mergeCell ref="A87:B87"/>
    <mergeCell ref="A81:B81"/>
    <mergeCell ref="C4:P4"/>
    <mergeCell ref="C81:P81"/>
    <mergeCell ref="C51:P51"/>
    <mergeCell ref="C58:P58"/>
    <mergeCell ref="C59:P59"/>
    <mergeCell ref="C66:P66"/>
    <mergeCell ref="C26:P26"/>
    <mergeCell ref="C27:P27"/>
    <mergeCell ref="C34:P34"/>
    <mergeCell ref="C42:P42"/>
    <mergeCell ref="C41:P41"/>
    <mergeCell ref="C11:P11"/>
    <mergeCell ref="C18:P18"/>
  </mergeCells>
  <phoneticPr fontId="29" type="noConversion"/>
  <printOptions horizontalCentered="1"/>
  <pageMargins left="0.59055118110236227" right="0.59055118110236227" top="0.78740157480314965" bottom="0.78740157480314965" header="0.51181102362204722" footer="0.51181102362204722"/>
  <pageSetup paperSize="9" scale="55" fitToHeight="0" orientation="portrait" r:id="rId1"/>
  <headerFooter alignWithMargins="0">
    <oddHeader>&amp;L&amp;"Arial,Dőlt"&amp;12 &amp;U9. melléklet a 15/2015. (V.29.) önkormányzati rendelethez</oddHeader>
    <oddFooter>&amp;C&amp;12Nagykőrös Város Önkormányzat 2014. évi zárszámadási rendelete</oddFooter>
  </headerFooter>
  <rowBreaks count="1" manualBreakCount="1">
    <brk id="5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25</vt:i4>
      </vt:variant>
    </vt:vector>
  </HeadingPairs>
  <TitlesOfParts>
    <vt:vector size="4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Kts.vetési mérleg</vt:lpstr>
      <vt:lpstr>18</vt:lpstr>
      <vt:lpstr>19</vt:lpstr>
      <vt:lpstr>20</vt:lpstr>
      <vt:lpstr>Munka2</vt:lpstr>
      <vt:lpstr>21</vt:lpstr>
      <vt:lpstr>22</vt:lpstr>
      <vt:lpstr>'12'!Nyomtatási_cím</vt:lpstr>
      <vt:lpstr>'4'!Nyomtatási_cím</vt:lpstr>
      <vt:lpstr>'5'!Nyomtatási_cím</vt:lpstr>
      <vt:lpstr>'7'!Nyomtatási_cím</vt:lpstr>
      <vt:lpstr>'8'!Nyomtatási_cím</vt:lpstr>
      <vt:lpstr>'9'!Nyomtatási_cím</vt:lpstr>
      <vt:lpstr>'10'!Nyomtatási_terület</vt:lpstr>
      <vt:lpstr>'11'!Nyomtatási_terület</vt:lpstr>
      <vt:lpstr>'12'!Nyomtatási_terület</vt:lpstr>
      <vt:lpstr>'13'!Nyomtatási_terület</vt:lpstr>
      <vt:lpstr>'14'!Nyomtatási_terület</vt:lpstr>
      <vt:lpstr>'15'!Nyomtatási_terület</vt:lpstr>
      <vt:lpstr>'16'!Nyomtatási_terület</vt:lpstr>
      <vt:lpstr>'18'!Nyomtatási_terület</vt:lpstr>
      <vt:lpstr>'19'!Nyomtatási_terület</vt:lpstr>
      <vt:lpstr>'2'!Nyomtatási_terület</vt:lpstr>
      <vt:lpstr>'20'!Nyomtatási_terület</vt:lpstr>
      <vt:lpstr>'3'!Nyomtatási_terület</vt:lpstr>
      <vt:lpstr>'4'!Nyomtatási_terület</vt:lpstr>
      <vt:lpstr>'5'!Nyomtatási_terület</vt:lpstr>
      <vt:lpstr>'6'!Nyomtatási_terület</vt:lpstr>
      <vt:lpstr>'7'!Nyomtatási_terület</vt:lpstr>
      <vt:lpstr>'8'!Nyomtatási_terület</vt:lpstr>
      <vt:lpstr>'9'!Nyomtatási_terület</vt:lpstr>
      <vt:lpstr>'Kts.vetési mérleg'!Nyomtatási_terület</vt:lpstr>
    </vt:vector>
  </TitlesOfParts>
  <Company>Pohi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Péter</dc:creator>
  <cp:lastModifiedBy>Koroknainé</cp:lastModifiedBy>
  <cp:lastPrinted>2015-05-29T06:47:10Z</cp:lastPrinted>
  <dcterms:created xsi:type="dcterms:W3CDTF">2009-11-18T16:00:30Z</dcterms:created>
  <dcterms:modified xsi:type="dcterms:W3CDTF">2015-05-29T08:04:10Z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-9967459</vt:i4>
  </property>
  <property fmtid="{D5CDD505-2E9C-101B-9397-08002B2CF9AE}" pid="3" name="_EmailSubject">
    <vt:lpwstr>2010</vt:lpwstr>
  </property>
  <property fmtid="{D5CDD505-2E9C-101B-9397-08002B2CF9AE}" pid="4" name="_AuthorEmail">
    <vt:lpwstr>kiss-peter@nagykoros.hu</vt:lpwstr>
  </property>
  <property fmtid="{D5CDD505-2E9C-101B-9397-08002B2CF9AE}" pid="5" name="_AuthorEmailDisplayName">
    <vt:lpwstr>Polgármesteri Hivatal Nagykőrös Pénzügyi Irodavezető</vt:lpwstr>
  </property>
  <property fmtid="{D5CDD505-2E9C-101B-9397-08002B2CF9AE}" pid="6" name="_ReviewingToolsShownOnce">
    <vt:lpwstr/>
  </property>
</Properties>
</file>