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4240" windowHeight="12435" tabRatio="601" activeTab="20"/>
  </bookViews>
  <sheets>
    <sheet name="1" sheetId="28" r:id="rId1"/>
    <sheet name="2" sheetId="2" r:id="rId2"/>
    <sheet name="3" sheetId="7" r:id="rId3"/>
    <sheet name="4" sheetId="5" r:id="rId4"/>
    <sheet name="5" sheetId="30" r:id="rId5"/>
    <sheet name="6" sheetId="6" r:id="rId6"/>
    <sheet name="7" sheetId="1" r:id="rId7"/>
    <sheet name="8" sheetId="32" r:id="rId8"/>
    <sheet name="9" sheetId="11" r:id="rId9"/>
    <sheet name="10" sheetId="10" r:id="rId10"/>
    <sheet name="11" sheetId="15" r:id="rId11"/>
    <sheet name="12" sheetId="4" r:id="rId12"/>
    <sheet name="13" sheetId="13" r:id="rId13"/>
    <sheet name="14" sheetId="12" r:id="rId14"/>
    <sheet name="15" sheetId="43" r:id="rId15"/>
    <sheet name="t1" sheetId="44" r:id="rId16"/>
    <sheet name="t2" sheetId="50" r:id="rId17"/>
    <sheet name="t3" sheetId="47" r:id="rId18"/>
    <sheet name="t4" sheetId="45" r:id="rId19"/>
    <sheet name="t5" sheetId="49" r:id="rId20"/>
    <sheet name="t6-támogatások forintban" sheetId="48" r:id="rId21"/>
    <sheet name="Munka1" sheetId="51" r:id="rId22"/>
  </sheets>
  <externalReferences>
    <externalReference r:id="rId23"/>
  </externalReferences>
  <definedNames>
    <definedName name="_xlnm.Print_Titles" localSheetId="9">'10'!$1:$3</definedName>
    <definedName name="_xlnm.Print_Titles" localSheetId="2">'3'!$1:$3</definedName>
    <definedName name="_xlnm.Print_Titles" localSheetId="3">'4'!$1:$3</definedName>
    <definedName name="_xlnm.Print_Titles" localSheetId="5">'6'!$1:$3</definedName>
    <definedName name="_xlnm.Print_Titles" localSheetId="6">'7'!$1:$3</definedName>
    <definedName name="_xlnm.Print_Titles" localSheetId="7">'8'!$1:$3</definedName>
    <definedName name="_xlnm.Print_Area" localSheetId="9">'10'!$A$1:$F$23</definedName>
    <definedName name="_xlnm.Print_Area" localSheetId="10">'11'!$A$1:$C$23</definedName>
    <definedName name="_xlnm.Print_Area" localSheetId="11">'12'!$A$1:$C$14</definedName>
    <definedName name="_xlnm.Print_Area" localSheetId="12">'13'!$A$1:$J$12</definedName>
    <definedName name="_xlnm.Print_Area" localSheetId="13">'14'!$B$1:$F$34</definedName>
    <definedName name="_xlnm.Print_Area" localSheetId="1">'2'!$A$1:$F$44</definedName>
    <definedName name="_xlnm.Print_Area" localSheetId="2">'3'!$A$1:$F$125</definedName>
    <definedName name="_xlnm.Print_Area" localSheetId="3">'4'!$A$1:$F$110</definedName>
    <definedName name="_xlnm.Print_Area" localSheetId="4">'5'!$A$1:$F$26</definedName>
    <definedName name="_xlnm.Print_Area" localSheetId="5">'6'!$A$1:$F$158</definedName>
    <definedName name="_xlnm.Print_Area" localSheetId="6">'7'!$A$1:$F$287</definedName>
    <definedName name="_xlnm.Print_Area" localSheetId="7">'8'!$A$1:$F$43</definedName>
    <definedName name="_xlnm.Print_Area" localSheetId="8">'9'!$A$1:$F$56</definedName>
    <definedName name="_xlnm.Print_Area" localSheetId="15">'t1'!$A$1:$O$27</definedName>
    <definedName name="_xlnm.Print_Area" localSheetId="16">'t2'!$A$1:$G$98</definedName>
    <definedName name="_xlnm.Print_Area" localSheetId="19">'t5'!$A$1:$H$22</definedName>
    <definedName name="_xlnm.Print_Area" localSheetId="20">'t6-támogatások forintban'!$A$1:$F$56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8" i="1"/>
  <c r="C278"/>
  <c r="G19" i="44" l="1"/>
  <c r="H19"/>
  <c r="F19"/>
  <c r="E19"/>
  <c r="D19"/>
  <c r="C19"/>
  <c r="N7"/>
  <c r="H18" i="43"/>
  <c r="G18"/>
  <c r="F18"/>
  <c r="E18"/>
  <c r="D18"/>
  <c r="C18"/>
  <c r="E12" i="44" l="1"/>
  <c r="C6" i="43"/>
  <c r="C10" i="45"/>
  <c r="C108" i="5"/>
  <c r="F282" i="1" l="1"/>
  <c r="C281"/>
  <c r="D281"/>
  <c r="E281"/>
  <c r="F281"/>
  <c r="D280"/>
  <c r="E280"/>
  <c r="F280"/>
  <c r="C280"/>
  <c r="F278"/>
  <c r="D275"/>
  <c r="F275"/>
  <c r="C276"/>
  <c r="D276"/>
  <c r="E276"/>
  <c r="F276"/>
  <c r="C277"/>
  <c r="D277"/>
  <c r="E277"/>
  <c r="F277"/>
  <c r="D274"/>
  <c r="F274"/>
  <c r="F77"/>
  <c r="E77"/>
  <c r="D77"/>
  <c r="C77"/>
  <c r="F74"/>
  <c r="C72"/>
  <c r="D72" s="1"/>
  <c r="D74" s="1"/>
  <c r="E71"/>
  <c r="E70"/>
  <c r="F190"/>
  <c r="E190"/>
  <c r="D190"/>
  <c r="C190"/>
  <c r="F187"/>
  <c r="E187"/>
  <c r="D187"/>
  <c r="C187"/>
  <c r="E72" l="1"/>
  <c r="C74"/>
  <c r="E74"/>
  <c r="D65" i="5"/>
  <c r="C65"/>
  <c r="C62"/>
  <c r="D66"/>
  <c r="D11" i="32" l="1"/>
  <c r="E11"/>
  <c r="F11"/>
  <c r="E286" i="1"/>
  <c r="F286"/>
  <c r="E254"/>
  <c r="F254"/>
  <c r="D251"/>
  <c r="E251"/>
  <c r="F251"/>
  <c r="D245"/>
  <c r="E245"/>
  <c r="F245"/>
  <c r="E242"/>
  <c r="F242"/>
  <c r="F233"/>
  <c r="E236"/>
  <c r="F236"/>
  <c r="E233"/>
  <c r="E224"/>
  <c r="F224"/>
  <c r="F227"/>
  <c r="E227"/>
  <c r="E218" l="1"/>
  <c r="F218"/>
  <c r="E215"/>
  <c r="F215"/>
  <c r="E209"/>
  <c r="F209"/>
  <c r="D39"/>
  <c r="D30"/>
  <c r="D17"/>
  <c r="D22"/>
  <c r="D20"/>
  <c r="D9"/>
  <c r="N21" i="44" l="1"/>
  <c r="N20" i="43" l="1"/>
  <c r="N8"/>
  <c r="C11" i="15" l="1"/>
  <c r="C8" i="1"/>
  <c r="G36" i="50" l="1"/>
  <c r="C8" i="12" l="1"/>
  <c r="D21" i="11"/>
  <c r="C12" i="13"/>
  <c r="C25" i="30"/>
  <c r="C16" i="32"/>
  <c r="C12" i="1"/>
  <c r="C11"/>
  <c r="C282"/>
  <c r="D20" i="10"/>
  <c r="D282" i="1" s="1"/>
  <c r="E20" i="10"/>
  <c r="E282" i="1" s="1"/>
  <c r="C20" i="10"/>
  <c r="C253" i="1"/>
  <c r="C84" i="5"/>
  <c r="C240" i="1"/>
  <c r="C242" s="1"/>
  <c r="D234" l="1"/>
  <c r="C234"/>
  <c r="D236"/>
  <c r="C236"/>
  <c r="C13" i="15"/>
  <c r="D108" i="5"/>
  <c r="C7" i="15"/>
  <c r="C52" i="11" l="1"/>
  <c r="C209" i="1" l="1"/>
  <c r="C54"/>
  <c r="D25" i="30"/>
  <c r="C107" i="5"/>
  <c r="E71" l="1"/>
  <c r="C54"/>
  <c r="C52" s="1"/>
  <c r="D56"/>
  <c r="D24" i="11"/>
  <c r="D225" i="1"/>
  <c r="D207"/>
  <c r="D209" s="1"/>
  <c r="D55" i="5"/>
  <c r="D54" s="1"/>
  <c r="C52" i="7"/>
  <c r="D64" i="6"/>
  <c r="C64"/>
  <c r="D63" i="1" l="1"/>
  <c r="C27"/>
  <c r="D54"/>
  <c r="C58" i="6" l="1"/>
  <c r="C57"/>
  <c r="D8" i="12" l="1"/>
  <c r="E8" s="1"/>
  <c r="F8" s="1"/>
  <c r="C7"/>
  <c r="D22" i="48" l="1"/>
  <c r="D20"/>
  <c r="D18"/>
  <c r="D17"/>
  <c r="D10"/>
  <c r="D8"/>
  <c r="D98" i="7"/>
  <c r="D124" i="6"/>
  <c r="D72"/>
  <c r="C34" i="32"/>
  <c r="D34"/>
  <c r="C43" i="5" l="1"/>
  <c r="C103" i="7"/>
  <c r="D50" i="11" l="1"/>
  <c r="D12" i="1" s="1"/>
  <c r="D22" i="11"/>
  <c r="D11" i="1" s="1"/>
  <c r="D195"/>
  <c r="D167"/>
  <c r="D110"/>
  <c r="D45"/>
  <c r="D27"/>
  <c r="D8"/>
  <c r="E29" i="11"/>
  <c r="E30"/>
  <c r="C28"/>
  <c r="E28" s="1"/>
  <c r="C46" i="48" l="1"/>
  <c r="F14" i="12" l="1"/>
  <c r="E14"/>
  <c r="D14"/>
  <c r="C14"/>
  <c r="E52" i="11"/>
  <c r="D47" i="48"/>
  <c r="E79" i="5" l="1"/>
  <c r="E82" i="1" l="1"/>
  <c r="C9" i="15" l="1"/>
  <c r="G52" i="50" l="1"/>
  <c r="G51"/>
  <c r="G50"/>
  <c r="G47"/>
  <c r="G44"/>
  <c r="G43"/>
  <c r="G42"/>
  <c r="G34"/>
  <c r="G32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1"/>
  <c r="G10"/>
  <c r="G9"/>
  <c r="G8"/>
  <c r="G3"/>
  <c r="D240" i="1" l="1"/>
  <c r="D242" s="1"/>
  <c r="B15" i="2" l="1"/>
  <c r="B17" i="49" l="1"/>
  <c r="B38" i="2" l="1"/>
  <c r="F38" s="1"/>
  <c r="D286" i="1"/>
  <c r="C38" i="2" s="1"/>
  <c r="C15" i="15"/>
  <c r="C16" s="1"/>
  <c r="E19" i="10"/>
  <c r="C148" i="1"/>
  <c r="D91"/>
  <c r="E148" l="1"/>
  <c r="D278"/>
  <c r="D49" i="11"/>
  <c r="C68" i="7"/>
  <c r="D52" i="11" l="1"/>
  <c r="D253" i="1"/>
  <c r="D254" s="1"/>
  <c r="D6" i="45"/>
  <c r="D86" i="1"/>
  <c r="C254"/>
  <c r="C251"/>
  <c r="C245"/>
  <c r="D263"/>
  <c r="C263"/>
  <c r="D260"/>
  <c r="C260"/>
  <c r="D233"/>
  <c r="C233"/>
  <c r="C7" i="10"/>
  <c r="D101" i="5"/>
  <c r="D100" s="1"/>
  <c r="C101"/>
  <c r="C100" s="1"/>
  <c r="E84"/>
  <c r="C74"/>
  <c r="C69"/>
  <c r="C59"/>
  <c r="C45"/>
  <c r="C40"/>
  <c r="C21"/>
  <c r="C17"/>
  <c r="C6"/>
  <c r="D19" i="32"/>
  <c r="C40"/>
  <c r="D40"/>
  <c r="E40"/>
  <c r="C35"/>
  <c r="D35"/>
  <c r="E35"/>
  <c r="C36"/>
  <c r="D36"/>
  <c r="E36"/>
  <c r="D32"/>
  <c r="D33"/>
  <c r="C32"/>
  <c r="D20" i="6"/>
  <c r="C5" i="5" l="1"/>
  <c r="C4" s="1"/>
  <c r="D37" i="32"/>
  <c r="C15" i="2"/>
  <c r="D42" i="7"/>
  <c r="D32"/>
  <c r="D46" i="6"/>
  <c r="E128"/>
  <c r="F128"/>
  <c r="C131"/>
  <c r="D135"/>
  <c r="D96"/>
  <c r="D98"/>
  <c r="D97"/>
  <c r="D71"/>
  <c r="D70"/>
  <c r="D52" i="7"/>
  <c r="D59" i="6"/>
  <c r="D58"/>
  <c r="D57"/>
  <c r="D48" i="7"/>
  <c r="G32" i="48"/>
  <c r="D137" i="1"/>
  <c r="D138"/>
  <c r="D139"/>
  <c r="C283" l="1"/>
  <c r="C33" i="32"/>
  <c r="C37" s="1"/>
  <c r="E14" i="30"/>
  <c r="E12"/>
  <c r="D32" i="5" l="1"/>
  <c r="D33" i="48" l="1"/>
  <c r="D33" i="5"/>
  <c r="D47" l="1"/>
  <c r="D19" l="1"/>
  <c r="D20"/>
  <c r="D18"/>
  <c r="D7"/>
  <c r="G7" i="48"/>
  <c r="G8"/>
  <c r="G9"/>
  <c r="G10"/>
  <c r="G11"/>
  <c r="G12"/>
  <c r="G13"/>
  <c r="G14"/>
  <c r="G15"/>
  <c r="G17"/>
  <c r="G18"/>
  <c r="G19"/>
  <c r="G20"/>
  <c r="G22"/>
  <c r="G23"/>
  <c r="G24"/>
  <c r="G25"/>
  <c r="G26"/>
  <c r="G27"/>
  <c r="G28"/>
  <c r="G29"/>
  <c r="G30"/>
  <c r="G31"/>
  <c r="G34"/>
  <c r="G35"/>
  <c r="G36"/>
  <c r="G37"/>
  <c r="G38"/>
  <c r="G39"/>
  <c r="G41"/>
  <c r="G42"/>
  <c r="G6"/>
  <c r="E14" i="10" l="1"/>
  <c r="G10" i="49" l="1"/>
  <c r="G4"/>
  <c r="C17"/>
  <c r="C10"/>
  <c r="C4"/>
  <c r="B10"/>
  <c r="B4"/>
  <c r="F4"/>
  <c r="F10"/>
  <c r="F14" l="1"/>
  <c r="B14"/>
  <c r="G14"/>
  <c r="G16" s="1"/>
  <c r="G21" s="1"/>
  <c r="C14"/>
  <c r="O17" i="44"/>
  <c r="G217" i="1"/>
  <c r="D272"/>
  <c r="C272"/>
  <c r="G269" s="1"/>
  <c r="D224"/>
  <c r="C224"/>
  <c r="C227"/>
  <c r="D215"/>
  <c r="C215"/>
  <c r="D218"/>
  <c r="C218"/>
  <c r="E158"/>
  <c r="E157"/>
  <c r="E156"/>
  <c r="D82" i="7"/>
  <c r="D22"/>
  <c r="D15" i="11"/>
  <c r="D41"/>
  <c r="C41"/>
  <c r="B16" i="49" l="1"/>
  <c r="B21" s="1"/>
  <c r="B22"/>
  <c r="G216" i="1"/>
  <c r="C16" i="49"/>
  <c r="C21" s="1"/>
  <c r="C22"/>
  <c r="G225" i="1"/>
  <c r="G226" l="1"/>
  <c r="E91" i="5"/>
  <c r="E83"/>
  <c r="D227" i="1" l="1"/>
  <c r="C8" i="47" l="1"/>
  <c r="C13"/>
  <c r="E15" i="32" l="1"/>
  <c r="E33" s="1"/>
  <c r="D44" i="6"/>
  <c r="D45"/>
  <c r="D32"/>
  <c r="D31"/>
  <c r="D19"/>
  <c r="D18"/>
  <c r="E76" i="5" l="1"/>
  <c r="E75"/>
  <c r="D43"/>
  <c r="E81" l="1"/>
  <c r="E80"/>
  <c r="E78" l="1"/>
  <c r="E77"/>
  <c r="D49"/>
  <c r="E5" i="7"/>
  <c r="F5"/>
  <c r="E6"/>
  <c r="F6"/>
  <c r="E7"/>
  <c r="F7"/>
  <c r="D8"/>
  <c r="E8"/>
  <c r="F8"/>
  <c r="D9"/>
  <c r="E9"/>
  <c r="F9"/>
  <c r="D10"/>
  <c r="E10"/>
  <c r="F10"/>
  <c r="D11"/>
  <c r="E11"/>
  <c r="F11"/>
  <c r="D12"/>
  <c r="E12"/>
  <c r="F12"/>
  <c r="C6"/>
  <c r="C7"/>
  <c r="C8"/>
  <c r="C9"/>
  <c r="C10"/>
  <c r="C11"/>
  <c r="C12"/>
  <c r="C5"/>
  <c r="C84" i="6"/>
  <c r="E84"/>
  <c r="F84"/>
  <c r="C85"/>
  <c r="E85"/>
  <c r="F85"/>
  <c r="C86"/>
  <c r="E86"/>
  <c r="F86"/>
  <c r="C87"/>
  <c r="E87"/>
  <c r="F87"/>
  <c r="E89"/>
  <c r="F89"/>
  <c r="C90"/>
  <c r="E90"/>
  <c r="F90"/>
  <c r="C91"/>
  <c r="E91"/>
  <c r="F91"/>
  <c r="C93"/>
  <c r="E93"/>
  <c r="F93"/>
  <c r="E83"/>
  <c r="F83"/>
  <c r="C83"/>
  <c r="D92" i="7"/>
  <c r="D88"/>
  <c r="C66"/>
  <c r="E66"/>
  <c r="F66"/>
  <c r="C67"/>
  <c r="E67"/>
  <c r="F67"/>
  <c r="E68"/>
  <c r="F68"/>
  <c r="C69"/>
  <c r="E69"/>
  <c r="F69"/>
  <c r="C70"/>
  <c r="E70"/>
  <c r="F70"/>
  <c r="C71"/>
  <c r="E71"/>
  <c r="F71"/>
  <c r="C72"/>
  <c r="E72"/>
  <c r="F72"/>
  <c r="E65"/>
  <c r="F65"/>
  <c r="C65"/>
  <c r="D99"/>
  <c r="D69" s="1"/>
  <c r="D100"/>
  <c r="D70" s="1"/>
  <c r="D101"/>
  <c r="D71" s="1"/>
  <c r="D102"/>
  <c r="D112"/>
  <c r="D136" i="6"/>
  <c r="D137"/>
  <c r="D138"/>
  <c r="D110"/>
  <c r="D111"/>
  <c r="D112"/>
  <c r="D113"/>
  <c r="D109"/>
  <c r="D83" s="1"/>
  <c r="D85" l="1"/>
  <c r="D84"/>
  <c r="D68" i="7"/>
  <c r="C115"/>
  <c r="D72"/>
  <c r="C5" i="6"/>
  <c r="C147" s="1"/>
  <c r="D12" i="13" l="1"/>
  <c r="E12"/>
  <c r="F12"/>
  <c r="G12"/>
  <c r="H12"/>
  <c r="C7" i="4"/>
  <c r="C14" s="1"/>
  <c r="E179" i="1"/>
  <c r="F181"/>
  <c r="D181"/>
  <c r="C181"/>
  <c r="E176"/>
  <c r="E16" i="10"/>
  <c r="E17"/>
  <c r="E9"/>
  <c r="D67" i="5"/>
  <c r="D64"/>
  <c r="D62" s="1"/>
  <c r="D63"/>
  <c r="D61"/>
  <c r="D60"/>
  <c r="E181" i="1" l="1"/>
  <c r="F38" i="32"/>
  <c r="F172" i="1" l="1"/>
  <c r="E172"/>
  <c r="D172"/>
  <c r="C172"/>
  <c r="F163"/>
  <c r="E163"/>
  <c r="D163"/>
  <c r="C163"/>
  <c r="F153"/>
  <c r="E153"/>
  <c r="D153"/>
  <c r="C153"/>
  <c r="F144"/>
  <c r="E144"/>
  <c r="D144"/>
  <c r="C144"/>
  <c r="D134"/>
  <c r="E134"/>
  <c r="F134"/>
  <c r="C134"/>
  <c r="F124"/>
  <c r="E124"/>
  <c r="D124"/>
  <c r="C124"/>
  <c r="F115"/>
  <c r="E115"/>
  <c r="D115"/>
  <c r="C115"/>
  <c r="C106"/>
  <c r="F106"/>
  <c r="E106"/>
  <c r="D106"/>
  <c r="F96"/>
  <c r="E96"/>
  <c r="D96"/>
  <c r="C96"/>
  <c r="D87"/>
  <c r="E87"/>
  <c r="F87"/>
  <c r="C87"/>
  <c r="D68"/>
  <c r="E68"/>
  <c r="F68"/>
  <c r="C68"/>
  <c r="D59"/>
  <c r="E59"/>
  <c r="F59"/>
  <c r="C59"/>
  <c r="D50"/>
  <c r="E50"/>
  <c r="F50"/>
  <c r="C50"/>
  <c r="D41"/>
  <c r="E41"/>
  <c r="F41"/>
  <c r="C41"/>
  <c r="D32"/>
  <c r="E32"/>
  <c r="F32"/>
  <c r="C32"/>
  <c r="D23"/>
  <c r="E23"/>
  <c r="F23"/>
  <c r="C23"/>
  <c r="D13"/>
  <c r="D283" s="1"/>
  <c r="E13"/>
  <c r="E283" s="1"/>
  <c r="F13"/>
  <c r="C13"/>
  <c r="E148" i="6"/>
  <c r="F148"/>
  <c r="E149"/>
  <c r="F149"/>
  <c r="E150"/>
  <c r="F150"/>
  <c r="E151"/>
  <c r="F151"/>
  <c r="E153"/>
  <c r="F153"/>
  <c r="E154"/>
  <c r="F154"/>
  <c r="E155"/>
  <c r="D36" i="2" s="1"/>
  <c r="F155" i="6"/>
  <c r="E157"/>
  <c r="F157"/>
  <c r="E147"/>
  <c r="F147"/>
  <c r="D5"/>
  <c r="C6"/>
  <c r="D6" s="1"/>
  <c r="C7"/>
  <c r="D7" s="1"/>
  <c r="D149" s="1"/>
  <c r="C8"/>
  <c r="D42" i="5"/>
  <c r="D41"/>
  <c r="D36"/>
  <c r="D35"/>
  <c r="D34"/>
  <c r="D23"/>
  <c r="D24"/>
  <c r="D25"/>
  <c r="D26"/>
  <c r="D27"/>
  <c r="D28"/>
  <c r="D29"/>
  <c r="D30"/>
  <c r="D31"/>
  <c r="D37"/>
  <c r="D38"/>
  <c r="D39"/>
  <c r="D22"/>
  <c r="E21"/>
  <c r="F21"/>
  <c r="D9"/>
  <c r="D10"/>
  <c r="D11"/>
  <c r="D12"/>
  <c r="D13"/>
  <c r="D14"/>
  <c r="D15"/>
  <c r="D8"/>
  <c r="E6"/>
  <c r="F6"/>
  <c r="F283" i="1" l="1"/>
  <c r="D8" i="6"/>
  <c r="C150"/>
  <c r="D147"/>
  <c r="D148"/>
  <c r="D6" i="5"/>
  <c r="C149" i="6"/>
  <c r="C148"/>
  <c r="D21" i="5"/>
  <c r="F16" i="49" l="1"/>
  <c r="F21" s="1"/>
  <c r="D12" i="11" l="1"/>
  <c r="E12"/>
  <c r="E16" i="32"/>
  <c r="E34" s="1"/>
  <c r="E14"/>
  <c r="D139" i="6"/>
  <c r="D142"/>
  <c r="D143"/>
  <c r="D145"/>
  <c r="D125"/>
  <c r="D126"/>
  <c r="D129"/>
  <c r="D130"/>
  <c r="D132"/>
  <c r="D117"/>
  <c r="D119"/>
  <c r="D99"/>
  <c r="D86" s="1"/>
  <c r="D100"/>
  <c r="D103"/>
  <c r="D104"/>
  <c r="D60"/>
  <c r="D61"/>
  <c r="D65"/>
  <c r="D67"/>
  <c r="D47"/>
  <c r="D48"/>
  <c r="D34"/>
  <c r="D35"/>
  <c r="D39"/>
  <c r="D41"/>
  <c r="D21"/>
  <c r="C40" i="48"/>
  <c r="C5"/>
  <c r="E19" i="32" l="1"/>
  <c r="E32"/>
  <c r="E37" s="1"/>
  <c r="D131" i="6"/>
  <c r="D90"/>
  <c r="D87"/>
  <c r="D91"/>
  <c r="D93"/>
  <c r="D157" s="1"/>
  <c r="D127"/>
  <c r="D140"/>
  <c r="D114"/>
  <c r="C21" i="48"/>
  <c r="D36" i="6"/>
  <c r="D62"/>
  <c r="D66"/>
  <c r="D101"/>
  <c r="C16" i="48"/>
  <c r="D88" i="6" l="1"/>
  <c r="D107" i="5"/>
  <c r="C104"/>
  <c r="C58" l="1"/>
  <c r="D59"/>
  <c r="C19" i="32" l="1"/>
  <c r="C11" l="1"/>
  <c r="D31" i="11" l="1"/>
  <c r="E31"/>
  <c r="F31"/>
  <c r="C31"/>
  <c r="D120" i="1"/>
  <c r="D141" i="6" l="1"/>
  <c r="D144" s="1"/>
  <c r="C115"/>
  <c r="D115" s="1"/>
  <c r="D118" s="1"/>
  <c r="C102"/>
  <c r="C12" i="11"/>
  <c r="C63" i="7"/>
  <c r="C36" i="6"/>
  <c r="C89" l="1"/>
  <c r="D102"/>
  <c r="D89" s="1"/>
  <c r="C124" i="7"/>
  <c r="D124"/>
  <c r="D105" i="6" l="1"/>
  <c r="D92" s="1"/>
  <c r="D24"/>
  <c r="H63" i="1"/>
  <c r="E124" i="7" l="1"/>
  <c r="F124"/>
  <c r="E115"/>
  <c r="F115"/>
  <c r="D122"/>
  <c r="C118"/>
  <c r="C122"/>
  <c r="D26" i="11"/>
  <c r="E26"/>
  <c r="F26"/>
  <c r="C26"/>
  <c r="D69" i="5" l="1"/>
  <c r="E69"/>
  <c r="F69"/>
  <c r="C120" i="1" l="1"/>
  <c r="F107" i="5" l="1"/>
  <c r="F104" s="1"/>
  <c r="E107"/>
  <c r="E104" s="1"/>
  <c r="D104"/>
  <c r="F101"/>
  <c r="F100" s="1"/>
  <c r="E101"/>
  <c r="E100" s="1"/>
  <c r="F98"/>
  <c r="F97" s="1"/>
  <c r="E98"/>
  <c r="E97" s="1"/>
  <c r="D98"/>
  <c r="D97" s="1"/>
  <c r="C98"/>
  <c r="C97" s="1"/>
  <c r="F95"/>
  <c r="E95"/>
  <c r="D95"/>
  <c r="C95"/>
  <c r="F92"/>
  <c r="F89"/>
  <c r="E89"/>
  <c r="D89"/>
  <c r="C89"/>
  <c r="F82"/>
  <c r="E82"/>
  <c r="D82"/>
  <c r="C82"/>
  <c r="C68" s="1"/>
  <c r="F74"/>
  <c r="E74"/>
  <c r="D74"/>
  <c r="F65"/>
  <c r="E65"/>
  <c r="F62"/>
  <c r="E62"/>
  <c r="F59"/>
  <c r="E59"/>
  <c r="F52"/>
  <c r="E52"/>
  <c r="D52"/>
  <c r="F45"/>
  <c r="E45"/>
  <c r="D45"/>
  <c r="F43"/>
  <c r="E43"/>
  <c r="F40"/>
  <c r="E40"/>
  <c r="D40"/>
  <c r="F17"/>
  <c r="E17"/>
  <c r="F120" i="48"/>
  <c r="F117" s="1"/>
  <c r="E120"/>
  <c r="E117" s="1"/>
  <c r="D120"/>
  <c r="D117" s="1"/>
  <c r="C120"/>
  <c r="C117" s="1"/>
  <c r="F114"/>
  <c r="E114"/>
  <c r="D114"/>
  <c r="C114"/>
  <c r="F110"/>
  <c r="E110"/>
  <c r="D110"/>
  <c r="C110"/>
  <c r="F107"/>
  <c r="F106" s="1"/>
  <c r="E107"/>
  <c r="E106" s="1"/>
  <c r="D107"/>
  <c r="D106" s="1"/>
  <c r="C107"/>
  <c r="C106" s="1"/>
  <c r="F104"/>
  <c r="E104"/>
  <c r="D104"/>
  <c r="C104"/>
  <c r="F101"/>
  <c r="E101"/>
  <c r="D101"/>
  <c r="C101"/>
  <c r="F96"/>
  <c r="E96"/>
  <c r="D96"/>
  <c r="C96"/>
  <c r="F90"/>
  <c r="F88" s="1"/>
  <c r="E90"/>
  <c r="E88" s="1"/>
  <c r="D90"/>
  <c r="D88" s="1"/>
  <c r="C90"/>
  <c r="C88" s="1"/>
  <c r="F86"/>
  <c r="E86"/>
  <c r="D86"/>
  <c r="C86"/>
  <c r="F77"/>
  <c r="E77"/>
  <c r="D77"/>
  <c r="C77"/>
  <c r="F72"/>
  <c r="E72"/>
  <c r="D72"/>
  <c r="C72"/>
  <c r="F66"/>
  <c r="E66"/>
  <c r="D66"/>
  <c r="C66"/>
  <c r="F62"/>
  <c r="E62"/>
  <c r="D62"/>
  <c r="C62"/>
  <c r="F59"/>
  <c r="E59"/>
  <c r="D59"/>
  <c r="C59"/>
  <c r="F56"/>
  <c r="F53" s="1"/>
  <c r="E56"/>
  <c r="E53" s="1"/>
  <c r="D56"/>
  <c r="D53" s="1"/>
  <c r="C56"/>
  <c r="C53" s="1"/>
  <c r="F46"/>
  <c r="E46"/>
  <c r="D46"/>
  <c r="F43"/>
  <c r="E43"/>
  <c r="D43"/>
  <c r="C43"/>
  <c r="C4" s="1"/>
  <c r="F40"/>
  <c r="E40"/>
  <c r="D40"/>
  <c r="G40" s="1"/>
  <c r="F21"/>
  <c r="E21"/>
  <c r="F16"/>
  <c r="E16"/>
  <c r="F5"/>
  <c r="E5"/>
  <c r="D5"/>
  <c r="G5" s="1"/>
  <c r="F71" l="1"/>
  <c r="C95"/>
  <c r="C58"/>
  <c r="D95"/>
  <c r="C109"/>
  <c r="D58"/>
  <c r="E95"/>
  <c r="D109"/>
  <c r="E58"/>
  <c r="F95"/>
  <c r="E109"/>
  <c r="F109"/>
  <c r="E71"/>
  <c r="C3"/>
  <c r="C71"/>
  <c r="D71"/>
  <c r="F5" i="5"/>
  <c r="F4" s="1"/>
  <c r="D58"/>
  <c r="E5"/>
  <c r="E4" s="1"/>
  <c r="D88"/>
  <c r="F88"/>
  <c r="F58" i="48"/>
  <c r="C88" i="5"/>
  <c r="C110" s="1"/>
  <c r="E88"/>
  <c r="D16" i="48"/>
  <c r="G16" s="1"/>
  <c r="F58" i="5"/>
  <c r="E58"/>
  <c r="E68"/>
  <c r="D68"/>
  <c r="F4" i="48"/>
  <c r="F3" s="1"/>
  <c r="E4"/>
  <c r="E3" s="1"/>
  <c r="D21"/>
  <c r="G21" s="1"/>
  <c r="F68" i="5"/>
  <c r="D17"/>
  <c r="D5" s="1"/>
  <c r="D4" s="1"/>
  <c r="D110" l="1"/>
  <c r="E122" i="48"/>
  <c r="C122"/>
  <c r="F122"/>
  <c r="D4"/>
  <c r="E110" i="5"/>
  <c r="F110"/>
  <c r="D3" i="48" l="1"/>
  <c r="G4"/>
  <c r="F23" i="47"/>
  <c r="H23" s="1"/>
  <c r="F22"/>
  <c r="H22" s="1"/>
  <c r="F21"/>
  <c r="H21" s="1"/>
  <c r="C20"/>
  <c r="C24" s="1"/>
  <c r="G20"/>
  <c r="E20"/>
  <c r="F20" s="1"/>
  <c r="F19"/>
  <c r="H19" s="1"/>
  <c r="F17"/>
  <c r="H17" s="1"/>
  <c r="F13"/>
  <c r="H13" s="1"/>
  <c r="F12"/>
  <c r="H12" s="1"/>
  <c r="F11"/>
  <c r="H11" s="1"/>
  <c r="F9"/>
  <c r="H9" s="1"/>
  <c r="G8"/>
  <c r="E8"/>
  <c r="D8"/>
  <c r="D24" s="1"/>
  <c r="F7"/>
  <c r="H7" s="1"/>
  <c r="F6"/>
  <c r="H6" s="1"/>
  <c r="F5"/>
  <c r="H5" s="1"/>
  <c r="F4"/>
  <c r="H4" s="1"/>
  <c r="D122" i="48" l="1"/>
  <c r="G3"/>
  <c r="H20" i="47"/>
  <c r="G24"/>
  <c r="F8"/>
  <c r="H8" s="1"/>
  <c r="E24"/>
  <c r="F24" s="1"/>
  <c r="H24" l="1"/>
  <c r="J3" i="45" l="1"/>
  <c r="E6"/>
  <c r="E3" s="1"/>
  <c r="F6"/>
  <c r="F3" s="1"/>
  <c r="D3"/>
  <c r="O23" i="43" l="1"/>
  <c r="J15" i="45" l="1"/>
  <c r="J19" s="1"/>
  <c r="J21" s="1"/>
  <c r="K15"/>
  <c r="L15"/>
  <c r="E15"/>
  <c r="E19" s="1"/>
  <c r="F15"/>
  <c r="F19" s="1"/>
  <c r="D11" i="10"/>
  <c r="E11"/>
  <c r="F11"/>
  <c r="D7"/>
  <c r="E7"/>
  <c r="E4" s="1"/>
  <c r="F7"/>
  <c r="D35" i="11"/>
  <c r="D46" s="1"/>
  <c r="E35"/>
  <c r="E46" s="1"/>
  <c r="F35"/>
  <c r="F46" s="1"/>
  <c r="C35"/>
  <c r="C46" s="1"/>
  <c r="F52"/>
  <c r="E6"/>
  <c r="E17" s="1"/>
  <c r="F6"/>
  <c r="F17" s="1"/>
  <c r="E30" i="32"/>
  <c r="F30"/>
  <c r="D30"/>
  <c r="C30"/>
  <c r="D112" i="1"/>
  <c r="C15" i="6"/>
  <c r="C157" s="1"/>
  <c r="F62"/>
  <c r="F49"/>
  <c r="E49"/>
  <c r="F36"/>
  <c r="E36"/>
  <c r="F23"/>
  <c r="E23"/>
  <c r="D23" i="30"/>
  <c r="D22" s="1"/>
  <c r="E23"/>
  <c r="E22" s="1"/>
  <c r="F23"/>
  <c r="F22" s="1"/>
  <c r="C23"/>
  <c r="D15"/>
  <c r="E15"/>
  <c r="F15"/>
  <c r="D11"/>
  <c r="E11"/>
  <c r="F11"/>
  <c r="D7"/>
  <c r="D6" s="1"/>
  <c r="E7"/>
  <c r="F7"/>
  <c r="D4" i="10" l="1"/>
  <c r="F4"/>
  <c r="E10" i="30"/>
  <c r="F10"/>
  <c r="D10"/>
  <c r="D26" s="1"/>
  <c r="I12" i="13" l="1"/>
  <c r="E120" i="1" s="1"/>
  <c r="J12" i="13"/>
  <c r="F120" i="1" s="1"/>
  <c r="C51" i="6"/>
  <c r="D38"/>
  <c r="I12"/>
  <c r="C6" i="11"/>
  <c r="I11" i="6" s="1"/>
  <c r="D37" l="1"/>
  <c r="C11"/>
  <c r="C153" s="1"/>
  <c r="C12"/>
  <c r="C154" s="1"/>
  <c r="D6" i="11"/>
  <c r="D17" s="1"/>
  <c r="C17"/>
  <c r="D12" i="6" l="1"/>
  <c r="D154" s="1"/>
  <c r="D11"/>
  <c r="D153" s="1"/>
  <c r="D106" i="7"/>
  <c r="D107"/>
  <c r="D105"/>
  <c r="D96"/>
  <c r="D97"/>
  <c r="D95"/>
  <c r="D86"/>
  <c r="D87"/>
  <c r="D85"/>
  <c r="D51" i="6"/>
  <c r="D52"/>
  <c r="D50"/>
  <c r="D26"/>
  <c r="D22"/>
  <c r="C13"/>
  <c r="C9"/>
  <c r="C151" s="1"/>
  <c r="D36" i="7"/>
  <c r="D37"/>
  <c r="D35"/>
  <c r="D26"/>
  <c r="D27"/>
  <c r="D25"/>
  <c r="D16"/>
  <c r="D17"/>
  <c r="D15"/>
  <c r="E116"/>
  <c r="F116"/>
  <c r="E117"/>
  <c r="F117"/>
  <c r="E118"/>
  <c r="F118"/>
  <c r="E119"/>
  <c r="F119"/>
  <c r="E120"/>
  <c r="F120"/>
  <c r="E121"/>
  <c r="F121"/>
  <c r="E122"/>
  <c r="F122"/>
  <c r="D67" l="1"/>
  <c r="D5"/>
  <c r="D66"/>
  <c r="D7"/>
  <c r="D6"/>
  <c r="D65"/>
  <c r="D9" i="6"/>
  <c r="D13"/>
  <c r="C155"/>
  <c r="D118" i="7"/>
  <c r="C13"/>
  <c r="D121"/>
  <c r="C121"/>
  <c r="D120"/>
  <c r="C120"/>
  <c r="D119"/>
  <c r="C119"/>
  <c r="C116"/>
  <c r="C117"/>
  <c r="C113"/>
  <c r="C93"/>
  <c r="D83"/>
  <c r="E83"/>
  <c r="F83"/>
  <c r="C83"/>
  <c r="D117" l="1"/>
  <c r="D115"/>
  <c r="D116"/>
  <c r="C73"/>
  <c r="D78" i="6"/>
  <c r="D155" s="1"/>
  <c r="C36" i="2" s="1"/>
  <c r="D73" i="6"/>
  <c r="D150" s="1"/>
  <c r="D74"/>
  <c r="D151" s="1"/>
  <c r="E129" i="1" l="1"/>
  <c r="C11" i="10"/>
  <c r="C4" s="1"/>
  <c r="C23" s="1"/>
  <c r="C127" i="1" l="1"/>
  <c r="C274" s="1"/>
  <c r="C128"/>
  <c r="C275" s="1"/>
  <c r="E21" i="45"/>
  <c r="C9"/>
  <c r="C8"/>
  <c r="F21"/>
  <c r="L3"/>
  <c r="L19" s="1"/>
  <c r="K3"/>
  <c r="K19" s="1"/>
  <c r="O25" i="44"/>
  <c r="O24"/>
  <c r="O23"/>
  <c r="O22"/>
  <c r="O21"/>
  <c r="O20"/>
  <c r="M15"/>
  <c r="L15"/>
  <c r="J15"/>
  <c r="I15"/>
  <c r="G15"/>
  <c r="F15"/>
  <c r="D15"/>
  <c r="C15"/>
  <c r="O14"/>
  <c r="O13"/>
  <c r="O12"/>
  <c r="O11"/>
  <c r="O9"/>
  <c r="O7"/>
  <c r="O6"/>
  <c r="O5"/>
  <c r="E127" i="1" l="1"/>
  <c r="E274" s="1"/>
  <c r="C279"/>
  <c r="E128"/>
  <c r="E275" s="1"/>
  <c r="C131"/>
  <c r="D15" i="45"/>
  <c r="D19" s="1"/>
  <c r="D21" s="1"/>
  <c r="L21"/>
  <c r="K21"/>
  <c r="N15" i="44" l="1"/>
  <c r="O8"/>
  <c r="E15"/>
  <c r="O10"/>
  <c r="H15"/>
  <c r="K15"/>
  <c r="O15" l="1"/>
  <c r="H171" i="6"/>
  <c r="G171"/>
  <c r="B30" i="2"/>
  <c r="H7" i="49" s="1"/>
  <c r="B29" i="2"/>
  <c r="B28"/>
  <c r="F144" i="6"/>
  <c r="E144"/>
  <c r="C144"/>
  <c r="F140"/>
  <c r="E140"/>
  <c r="D146"/>
  <c r="C140"/>
  <c r="F131"/>
  <c r="E131"/>
  <c r="H127"/>
  <c r="G127"/>
  <c r="F127"/>
  <c r="E127"/>
  <c r="C127"/>
  <c r="F118"/>
  <c r="E118"/>
  <c r="C118"/>
  <c r="F114"/>
  <c r="E114"/>
  <c r="D120"/>
  <c r="C114"/>
  <c r="F105"/>
  <c r="E105"/>
  <c r="C105"/>
  <c r="F101"/>
  <c r="E101"/>
  <c r="C101"/>
  <c r="F79"/>
  <c r="E79"/>
  <c r="D79"/>
  <c r="C79"/>
  <c r="F75"/>
  <c r="E75"/>
  <c r="D75"/>
  <c r="C75"/>
  <c r="F66"/>
  <c r="F68" s="1"/>
  <c r="E66"/>
  <c r="C66"/>
  <c r="E62"/>
  <c r="C62"/>
  <c r="F53"/>
  <c r="F55" s="1"/>
  <c r="E53"/>
  <c r="E55" s="1"/>
  <c r="D53"/>
  <c r="C53"/>
  <c r="D49"/>
  <c r="C49"/>
  <c r="F40"/>
  <c r="F42" s="1"/>
  <c r="E40"/>
  <c r="E42" s="1"/>
  <c r="C40"/>
  <c r="D40" s="1"/>
  <c r="F27"/>
  <c r="F29" s="1"/>
  <c r="E27"/>
  <c r="E29" s="1"/>
  <c r="D27"/>
  <c r="C27"/>
  <c r="D23"/>
  <c r="C23"/>
  <c r="F14"/>
  <c r="E14"/>
  <c r="D14"/>
  <c r="C14"/>
  <c r="F10"/>
  <c r="E10"/>
  <c r="D10"/>
  <c r="C10"/>
  <c r="F113" i="7"/>
  <c r="E113"/>
  <c r="D113"/>
  <c r="F103"/>
  <c r="E103"/>
  <c r="D103"/>
  <c r="F93"/>
  <c r="E93"/>
  <c r="D93"/>
  <c r="F73"/>
  <c r="E73"/>
  <c r="D73"/>
  <c r="F63"/>
  <c r="E63"/>
  <c r="D63"/>
  <c r="F53"/>
  <c r="E53"/>
  <c r="D53"/>
  <c r="C53"/>
  <c r="F43"/>
  <c r="E43"/>
  <c r="D43"/>
  <c r="C43"/>
  <c r="F33"/>
  <c r="E33"/>
  <c r="D33"/>
  <c r="C33"/>
  <c r="F23"/>
  <c r="E23"/>
  <c r="D23"/>
  <c r="C23"/>
  <c r="F13"/>
  <c r="E13"/>
  <c r="D13"/>
  <c r="B20" i="2"/>
  <c r="B14" i="44" s="1"/>
  <c r="P14" s="1"/>
  <c r="B19" i="2"/>
  <c r="H5" i="49" l="1"/>
  <c r="E81" i="6"/>
  <c r="F81"/>
  <c r="H6" i="49"/>
  <c r="L6" i="2"/>
  <c r="C92" i="6"/>
  <c r="C156" s="1"/>
  <c r="F88"/>
  <c r="F152" s="1"/>
  <c r="D156"/>
  <c r="C120"/>
  <c r="C88"/>
  <c r="C152" s="1"/>
  <c r="E92"/>
  <c r="E156" s="1"/>
  <c r="E88"/>
  <c r="E152" s="1"/>
  <c r="F92"/>
  <c r="F156" s="1"/>
  <c r="C55"/>
  <c r="D152"/>
  <c r="C42"/>
  <c r="E120"/>
  <c r="E133"/>
  <c r="E146"/>
  <c r="E68"/>
  <c r="F120"/>
  <c r="F133"/>
  <c r="F146"/>
  <c r="D94"/>
  <c r="D107"/>
  <c r="F107"/>
  <c r="E107"/>
  <c r="C146"/>
  <c r="D55"/>
  <c r="D42"/>
  <c r="C107"/>
  <c r="D29"/>
  <c r="F123" i="7"/>
  <c r="E123"/>
  <c r="C29" i="6"/>
  <c r="D133"/>
  <c r="C133"/>
  <c r="D81"/>
  <c r="D68"/>
  <c r="C81"/>
  <c r="C16"/>
  <c r="E125" i="7"/>
  <c r="D125"/>
  <c r="C125"/>
  <c r="C68" i="6"/>
  <c r="B19" i="44"/>
  <c r="I6" i="45"/>
  <c r="B18" i="44"/>
  <c r="I5" i="45"/>
  <c r="B17" i="44"/>
  <c r="P17" s="1"/>
  <c r="I4" i="45"/>
  <c r="B13" i="44"/>
  <c r="P13" s="1"/>
  <c r="B18" i="2"/>
  <c r="I20" i="45"/>
  <c r="B25" i="44"/>
  <c r="D16" i="6"/>
  <c r="F16"/>
  <c r="F158" s="1"/>
  <c r="E16"/>
  <c r="D158" l="1"/>
  <c r="E158"/>
  <c r="F94"/>
  <c r="E94"/>
  <c r="C94"/>
  <c r="C158" s="1"/>
  <c r="I26" i="44" l="1"/>
  <c r="M26"/>
  <c r="H26"/>
  <c r="K26"/>
  <c r="J26"/>
  <c r="E26"/>
  <c r="G26"/>
  <c r="O19"/>
  <c r="P19" s="1"/>
  <c r="N26"/>
  <c r="F26"/>
  <c r="L26"/>
  <c r="D26"/>
  <c r="O18"/>
  <c r="P18" s="1"/>
  <c r="C26"/>
  <c r="D121" i="1" l="1"/>
  <c r="C27" i="44"/>
  <c r="D27" s="1"/>
  <c r="E27" s="1"/>
  <c r="F27" s="1"/>
  <c r="G27" s="1"/>
  <c r="H27" s="1"/>
  <c r="I27" s="1"/>
  <c r="J27" s="1"/>
  <c r="K27" s="1"/>
  <c r="L27" s="1"/>
  <c r="M27" s="1"/>
  <c r="N27" s="1"/>
  <c r="O26"/>
  <c r="F6" i="30" l="1"/>
  <c r="F26" s="1"/>
  <c r="F19" i="1" l="1"/>
  <c r="E19"/>
  <c r="F10"/>
  <c r="E13" i="2"/>
  <c r="E8"/>
  <c r="F121" i="1" l="1"/>
  <c r="E15" i="2"/>
  <c r="D15"/>
  <c r="E6"/>
  <c r="C169" i="1"/>
  <c r="C197"/>
  <c r="D197"/>
  <c r="E197"/>
  <c r="F197"/>
  <c r="E5" i="2" l="1"/>
  <c r="E7" l="1"/>
  <c r="E4" s="1"/>
  <c r="E121" i="1" l="1"/>
  <c r="O11" i="43" l="1"/>
  <c r="O12"/>
  <c r="O6" l="1"/>
  <c r="N25" l="1"/>
  <c r="M25"/>
  <c r="L25"/>
  <c r="K25"/>
  <c r="J25"/>
  <c r="I25"/>
  <c r="H25"/>
  <c r="G25"/>
  <c r="F25"/>
  <c r="E25"/>
  <c r="D25"/>
  <c r="C25"/>
  <c r="O24"/>
  <c r="O22"/>
  <c r="O21"/>
  <c r="O20"/>
  <c r="O19"/>
  <c r="O18"/>
  <c r="O17"/>
  <c r="O16"/>
  <c r="O13"/>
  <c r="O10"/>
  <c r="O9"/>
  <c r="O8"/>
  <c r="O7"/>
  <c r="O25" l="1"/>
  <c r="D26" i="12"/>
  <c r="E26"/>
  <c r="F26"/>
  <c r="C26"/>
  <c r="E34" i="2" l="1"/>
  <c r="E33" s="1"/>
  <c r="B36"/>
  <c r="H13" i="49" s="1"/>
  <c r="F20" i="10"/>
  <c r="F23" s="1"/>
  <c r="B24" i="44" l="1"/>
  <c r="P24" s="1"/>
  <c r="I18" i="45"/>
  <c r="D178" i="1"/>
  <c r="E178"/>
  <c r="F178"/>
  <c r="D169"/>
  <c r="E169"/>
  <c r="F169"/>
  <c r="D160"/>
  <c r="E160"/>
  <c r="F160"/>
  <c r="D150"/>
  <c r="E150"/>
  <c r="F150"/>
  <c r="D141"/>
  <c r="E141"/>
  <c r="F141"/>
  <c r="D131"/>
  <c r="E131"/>
  <c r="F131"/>
  <c r="E112"/>
  <c r="F112"/>
  <c r="D103"/>
  <c r="E103"/>
  <c r="F103"/>
  <c r="D93"/>
  <c r="E93"/>
  <c r="F93"/>
  <c r="D84"/>
  <c r="E84"/>
  <c r="F84"/>
  <c r="D65"/>
  <c r="E65"/>
  <c r="F65"/>
  <c r="D56"/>
  <c r="E56"/>
  <c r="F56"/>
  <c r="D47"/>
  <c r="E47"/>
  <c r="F47"/>
  <c r="D38"/>
  <c r="E38"/>
  <c r="F38"/>
  <c r="C38"/>
  <c r="D29"/>
  <c r="E29"/>
  <c r="F29"/>
  <c r="E10"/>
  <c r="F23" i="32"/>
  <c r="F14"/>
  <c r="E279" i="1" l="1"/>
  <c r="F279"/>
  <c r="F287" s="1"/>
  <c r="F32" i="32"/>
  <c r="F39" s="1"/>
  <c r="C30" i="2"/>
  <c r="C28"/>
  <c r="F15" i="32"/>
  <c r="D32" i="2" l="1"/>
  <c r="E28"/>
  <c r="F16" i="32"/>
  <c r="F17" s="1"/>
  <c r="F33"/>
  <c r="F40" s="1"/>
  <c r="C29" i="2"/>
  <c r="D28"/>
  <c r="E29" l="1"/>
  <c r="F35" i="32"/>
  <c r="F42" s="1"/>
  <c r="F34"/>
  <c r="F41" s="1"/>
  <c r="D29" i="2"/>
  <c r="F18" i="32"/>
  <c r="F36" s="1"/>
  <c r="F43" s="1"/>
  <c r="F19" l="1"/>
  <c r="E32" i="2"/>
  <c r="D30"/>
  <c r="F37" i="32"/>
  <c r="E31" i="2" l="1"/>
  <c r="E27" s="1"/>
  <c r="E37" s="1"/>
  <c r="E39" s="1"/>
  <c r="E43" s="1"/>
  <c r="D55" i="11"/>
  <c r="E55"/>
  <c r="F55"/>
  <c r="F56" s="1"/>
  <c r="C55"/>
  <c r="C56" s="1"/>
  <c r="D20" i="32"/>
  <c r="D38" s="1"/>
  <c r="E20"/>
  <c r="E38" s="1"/>
  <c r="C20"/>
  <c r="C38" s="1"/>
  <c r="C34" i="2" l="1"/>
  <c r="D21" i="32"/>
  <c r="D39" s="1"/>
  <c r="D41" s="1"/>
  <c r="D56" i="11"/>
  <c r="C21" i="32"/>
  <c r="C39" s="1"/>
  <c r="C41" s="1"/>
  <c r="E21"/>
  <c r="E39" s="1"/>
  <c r="E41" s="1"/>
  <c r="E56" i="11"/>
  <c r="D34" i="2"/>
  <c r="B34"/>
  <c r="F32" i="11"/>
  <c r="D32"/>
  <c r="C32"/>
  <c r="E32"/>
  <c r="E6" i="30"/>
  <c r="E26" s="1"/>
  <c r="C8" i="2"/>
  <c r="D8"/>
  <c r="D15" i="49"/>
  <c r="B8" i="2"/>
  <c r="D8" i="49" s="1"/>
  <c r="C11" i="2"/>
  <c r="D11"/>
  <c r="B11"/>
  <c r="D11" i="49" s="1"/>
  <c r="H11" l="1"/>
  <c r="D35" i="2"/>
  <c r="D33" s="1"/>
  <c r="C35"/>
  <c r="C33" s="1"/>
  <c r="B35"/>
  <c r="B33" s="1"/>
  <c r="D23" i="32"/>
  <c r="E23"/>
  <c r="E43" s="1"/>
  <c r="B12" i="44"/>
  <c r="P12" s="1"/>
  <c r="C20" i="45"/>
  <c r="B9" i="44"/>
  <c r="P9" s="1"/>
  <c r="C16" i="45"/>
  <c r="B8" i="44"/>
  <c r="P8" s="1"/>
  <c r="C13" i="45"/>
  <c r="B22" i="44"/>
  <c r="I16" i="45"/>
  <c r="C23" i="32"/>
  <c r="C22" i="30"/>
  <c r="C15"/>
  <c r="C11"/>
  <c r="C7"/>
  <c r="C6" s="1"/>
  <c r="D5" i="2"/>
  <c r="C10" i="30" l="1"/>
  <c r="C26" s="1"/>
  <c r="P22" i="44"/>
  <c r="C43" i="32"/>
  <c r="D43"/>
  <c r="I17" i="45"/>
  <c r="I15" s="1"/>
  <c r="H12" i="49"/>
  <c r="B23" i="44"/>
  <c r="P23" s="1"/>
  <c r="H10" i="49"/>
  <c r="C7" i="45"/>
  <c r="D6" i="2" l="1"/>
  <c r="C6"/>
  <c r="C14" i="43"/>
  <c r="C26" s="1"/>
  <c r="D5" s="1"/>
  <c r="D14" l="1"/>
  <c r="D26" l="1"/>
  <c r="E5" s="1"/>
  <c r="E14" s="1"/>
  <c r="E26" s="1"/>
  <c r="F5" l="1"/>
  <c r="F14" s="1"/>
  <c r="F26" s="1"/>
  <c r="G5" s="1"/>
  <c r="G14" s="1"/>
  <c r="G26" s="1"/>
  <c r="H5" s="1"/>
  <c r="H14" s="1"/>
  <c r="H26" s="1"/>
  <c r="I5" s="1"/>
  <c r="I14" s="1"/>
  <c r="I26" s="1"/>
  <c r="J5" s="1"/>
  <c r="J14" s="1"/>
  <c r="J26" s="1"/>
  <c r="K5" s="1"/>
  <c r="K14" s="1"/>
  <c r="K26" s="1"/>
  <c r="L5" s="1"/>
  <c r="L14" s="1"/>
  <c r="L26" s="1"/>
  <c r="M5" s="1"/>
  <c r="M14" s="1"/>
  <c r="M26" s="1"/>
  <c r="N5" l="1"/>
  <c r="N14" s="1"/>
  <c r="N26" s="1"/>
  <c r="F34" i="12"/>
  <c r="E34"/>
  <c r="D34"/>
  <c r="C31" i="2" l="1"/>
  <c r="D31"/>
  <c r="D27" s="1"/>
  <c r="D37" s="1"/>
  <c r="D39" s="1"/>
  <c r="D43" s="1"/>
  <c r="D19" i="1"/>
  <c r="D10"/>
  <c r="D279" s="1"/>
  <c r="C13" i="2"/>
  <c r="C5"/>
  <c r="D7" l="1"/>
  <c r="D4" s="1"/>
  <c r="C7"/>
  <c r="C4" s="1"/>
  <c r="E12"/>
  <c r="E11"/>
  <c r="C12"/>
  <c r="C10" s="1"/>
  <c r="D23" i="10"/>
  <c r="E23"/>
  <c r="D12" i="2"/>
  <c r="D13"/>
  <c r="E10" l="1"/>
  <c r="E14" s="1"/>
  <c r="E17" s="1"/>
  <c r="E21" s="1"/>
  <c r="C14"/>
  <c r="D10"/>
  <c r="D14" s="1"/>
  <c r="D17" s="1"/>
  <c r="E287" i="1"/>
  <c r="C17" i="2" l="1"/>
  <c r="C21" s="1"/>
  <c r="D21"/>
  <c r="C10" i="1" l="1"/>
  <c r="C178"/>
  <c r="C160"/>
  <c r="C150"/>
  <c r="C141"/>
  <c r="C112"/>
  <c r="C103"/>
  <c r="C93"/>
  <c r="C84"/>
  <c r="C65"/>
  <c r="C56"/>
  <c r="C47"/>
  <c r="C29"/>
  <c r="C19"/>
  <c r="B6" i="2" l="1"/>
  <c r="C11" i="45"/>
  <c r="B12" i="2"/>
  <c r="D12" i="49" s="1"/>
  <c r="B5" i="2"/>
  <c r="D5" i="49" s="1"/>
  <c r="D6" l="1"/>
  <c r="C6" i="45"/>
  <c r="C4"/>
  <c r="B10" i="44"/>
  <c r="P10" s="1"/>
  <c r="C17" i="45"/>
  <c r="B6" i="44"/>
  <c r="P6" s="1"/>
  <c r="B13" i="2"/>
  <c r="D13" i="49" s="1"/>
  <c r="B7" i="2" l="1"/>
  <c r="B11" i="44"/>
  <c r="P11" s="1"/>
  <c r="C18" i="45"/>
  <c r="C15" s="1"/>
  <c r="B10" i="2"/>
  <c r="F33" s="1"/>
  <c r="D10" i="49" l="1"/>
  <c r="C12" i="45"/>
  <c r="D7" i="49"/>
  <c r="B7" i="44"/>
  <c r="P7" s="1"/>
  <c r="C32" i="2"/>
  <c r="C27" s="1"/>
  <c r="C37" s="1"/>
  <c r="C39" s="1"/>
  <c r="C43" l="1"/>
  <c r="D287" i="1"/>
  <c r="B31" i="2" l="1"/>
  <c r="H8" i="49" s="1"/>
  <c r="C5" i="45"/>
  <c r="C121" i="1"/>
  <c r="B32" i="2" l="1"/>
  <c r="B27" s="1"/>
  <c r="C287" i="1"/>
  <c r="B20" i="44"/>
  <c r="P20" s="1"/>
  <c r="I7" i="45"/>
  <c r="B37" i="2" l="1"/>
  <c r="B39" s="1"/>
  <c r="H16" i="49" s="1"/>
  <c r="H9"/>
  <c r="B21" i="44"/>
  <c r="I8" i="45"/>
  <c r="I3" s="1"/>
  <c r="I19" s="1"/>
  <c r="I21" s="1"/>
  <c r="B4" i="2"/>
  <c r="D4" i="49" s="1"/>
  <c r="C3" i="45"/>
  <c r="C19" s="1"/>
  <c r="C21" s="1"/>
  <c r="B5" i="44"/>
  <c r="C34" i="12"/>
  <c r="F27" i="2" l="1"/>
  <c r="P21" i="44"/>
  <c r="B26"/>
  <c r="H4" i="49"/>
  <c r="P5" i="44"/>
  <c r="B15"/>
  <c r="B14" i="2"/>
  <c r="B17" l="1"/>
  <c r="B22"/>
  <c r="F37"/>
  <c r="F39" s="1"/>
  <c r="B43"/>
  <c r="B29" i="44"/>
  <c r="D14" i="49"/>
  <c r="B21" i="2"/>
  <c r="H14" i="49"/>
  <c r="D22" l="1"/>
  <c r="F43" i="2"/>
  <c r="H21" i="49"/>
  <c r="D16"/>
  <c r="D21" s="1"/>
</calcChain>
</file>

<file path=xl/sharedStrings.xml><?xml version="1.0" encoding="utf-8"?>
<sst xmlns="http://schemas.openxmlformats.org/spreadsheetml/2006/main" count="2342" uniqueCount="985">
  <si>
    <t xml:space="preserve">   KÖLTSÉGVETÉSI BEVÉTELEK ÖSSZESEN</t>
  </si>
  <si>
    <t>20.</t>
  </si>
  <si>
    <t>21.</t>
  </si>
  <si>
    <t>Címrend</t>
  </si>
  <si>
    <t>Cím száma</t>
  </si>
  <si>
    <t>Cím neve</t>
  </si>
  <si>
    <t>Személyi juttatások</t>
  </si>
  <si>
    <t>Ellátottak pénzbeli juttatása</t>
  </si>
  <si>
    <t>Bevételek</t>
  </si>
  <si>
    <t>Kiadások</t>
  </si>
  <si>
    <t>MŰKÖDÉSI CÉLÚ BEVÉTELEK</t>
  </si>
  <si>
    <t>MŰKÖDÉSI CÉLÚ KIADÁSOK</t>
  </si>
  <si>
    <t>Működési bevételek</t>
  </si>
  <si>
    <t>Ellátottak pénzbeli juttatásai</t>
  </si>
  <si>
    <t>FELHALMOZÁSI CÉLÚ BEVÉTELEK</t>
  </si>
  <si>
    <t>FELHALMOZÁSI CÉLÚ KIADÁSOK</t>
  </si>
  <si>
    <t>Felújítások</t>
  </si>
  <si>
    <t>KÖLTSÉGVETÉSI BEVÉTELEK</t>
  </si>
  <si>
    <t>KÖLTSÉGVETÉSI KIADÁSOK</t>
  </si>
  <si>
    <t>BEVÉTELEK MINDÖSSZESEN</t>
  </si>
  <si>
    <t>KIADÁSOK MINDÖSSZESEN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</si>
  <si>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</si>
  <si>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</si>
  <si>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</si>
  <si>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</si>
  <si>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</si>
  <si>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</si>
  <si>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</si>
  <si>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</si>
  <si>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</si>
  <si>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Intézmények megnevezése</t>
  </si>
  <si>
    <t>Alapellátás magában</t>
  </si>
  <si>
    <t>Ügyeleti Társulás</t>
  </si>
  <si>
    <t xml:space="preserve">Polgármesteri Hivatal </t>
  </si>
  <si>
    <t>ÖNKORMÁNYZAT ÖSSZESEN</t>
  </si>
  <si>
    <t>Cím</t>
  </si>
  <si>
    <t>10.</t>
  </si>
  <si>
    <t>Témák</t>
  </si>
  <si>
    <t>Városüzemeltetési és fenntartási feladatok</t>
  </si>
  <si>
    <t>Közutak üzemeltetése, fenntartása</t>
  </si>
  <si>
    <t>Települési vízellátás</t>
  </si>
  <si>
    <t>Parkok, zöldterületek fenntartása</t>
  </si>
  <si>
    <t>Mezei őrszolgálat</t>
  </si>
  <si>
    <t>Gyepmesteri feladatok</t>
  </si>
  <si>
    <t>Egyéb városüzemeltetési feladatok</t>
  </si>
  <si>
    <t>Közvilágítási szolgáltatás</t>
  </si>
  <si>
    <t>Belvízelvezetés</t>
  </si>
  <si>
    <t>Köztisztasági szolgálat</t>
  </si>
  <si>
    <t>Településfejlesztéssel, lakásgazdálkodással és vagyongazdálkodással kapcsolatos feladatok</t>
  </si>
  <si>
    <t>Önkormányzati ingatlanokkal kapcsolatos feladatok</t>
  </si>
  <si>
    <t>Építés és településfejlesztési feladatok</t>
  </si>
  <si>
    <t>Szociális, egészségügyi feladatok</t>
  </si>
  <si>
    <t>Egészségügyi ellátás feladatai</t>
  </si>
  <si>
    <t>Szociális és gyermekjóléti feladatok</t>
  </si>
  <si>
    <t>Igazgatási tevékenység</t>
  </si>
  <si>
    <t xml:space="preserve"> </t>
  </si>
  <si>
    <t>Közművelődési, oktatási feladatok</t>
  </si>
  <si>
    <t>Oktatási célok és feladatok</t>
  </si>
  <si>
    <t>Városi rendezvények, ünnepségek, külkapcsolatok</t>
  </si>
  <si>
    <t>Külföldi kapcsolatok kiadásai</t>
  </si>
  <si>
    <t>Városi rendezvények</t>
  </si>
  <si>
    <t>Családi Iroda tevékenységei</t>
  </si>
  <si>
    <t>Egyéb önkormányzati feladatok</t>
  </si>
  <si>
    <t>Városi kommunikációs feladatok</t>
  </si>
  <si>
    <t>ÖSSZESEN kötelező és egyéb városi feladatok</t>
  </si>
  <si>
    <t>Megnevezés</t>
  </si>
  <si>
    <t>I.</t>
  </si>
  <si>
    <t>MŰKÖDÉSI BEVÉTELEK</t>
  </si>
  <si>
    <t xml:space="preserve">   - Igazgatási szolgáltatások díjbevétele</t>
  </si>
  <si>
    <t xml:space="preserve">   - Bírságból származó bevétel</t>
  </si>
  <si>
    <t>Önkormányzati ingatlanok bérleti díjai</t>
  </si>
  <si>
    <t>Közterület foglalási díj</t>
  </si>
  <si>
    <t>Építményadó</t>
  </si>
  <si>
    <t>Magánszemélyek kommunális adója</t>
  </si>
  <si>
    <t>Iparűzési adó</t>
  </si>
  <si>
    <t>FINANSZÍROZÁSI BEVÉTELEK</t>
  </si>
  <si>
    <t>Költségvetési hiány összege (Költségvetési bevételek és költségvetési kiadások egyenlege)</t>
  </si>
  <si>
    <t>Intézmény neve</t>
  </si>
  <si>
    <t>Dologi kiadások</t>
  </si>
  <si>
    <t>Kiadás összesen</t>
  </si>
  <si>
    <t>Önkormányzati támogatás</t>
  </si>
  <si>
    <t>Intézmények összesen</t>
  </si>
  <si>
    <t>S.sz.</t>
  </si>
  <si>
    <t>Finanszírozási kiadások</t>
  </si>
  <si>
    <t>Költségvetési bevételek és kiadások (hiány/többlet) egyenlege</t>
  </si>
  <si>
    <t>Előző évi pénzmaradvány, előirányzat- maradvány igénybevétele utáni kiadások</t>
  </si>
  <si>
    <t xml:space="preserve"> Eredeti
előirányzat</t>
  </si>
  <si>
    <t>12.</t>
  </si>
  <si>
    <t>13.</t>
  </si>
  <si>
    <t xml:space="preserve">Önkormányzat  </t>
  </si>
  <si>
    <t xml:space="preserve">                                                                                                                  </t>
  </si>
  <si>
    <t>Eddig
módosított
előirányzat</t>
  </si>
  <si>
    <t>Működési célú támogatások, működési célra átadott pénzeszközök</t>
  </si>
  <si>
    <t>Bursa Hungarica ösztöndíj</t>
  </si>
  <si>
    <t>Jó tanuló, jó sportoló</t>
  </si>
  <si>
    <t>Sporttámogatás</t>
  </si>
  <si>
    <t>II/ .</t>
  </si>
  <si>
    <t>Felhalmozási célra hosszú lejáratú hitel felvétele</t>
  </si>
  <si>
    <t>Felhalmozási célú támogatások, felhalmozási célra átadott pénzeszközök</t>
  </si>
  <si>
    <t>Épített örökség helyi értékeinek védelmére önkormányzati támogatás</t>
  </si>
  <si>
    <t xml:space="preserve"> ÖSSZESEN</t>
  </si>
  <si>
    <t>Általános tartalék</t>
  </si>
  <si>
    <t>MŰKÖDÉSI KIADÁSOK ÖSSZESEN:</t>
  </si>
  <si>
    <t xml:space="preserve">Ingatlanfelújítás </t>
  </si>
  <si>
    <t>Aktuális
módosítás
(+/-)</t>
  </si>
  <si>
    <t>Ellátottak pénzbeli juttatásai összesen</t>
  </si>
  <si>
    <t xml:space="preserve">Haszonbérlet   </t>
  </si>
  <si>
    <t>Polgármesteri keret</t>
  </si>
  <si>
    <t>11.</t>
  </si>
  <si>
    <t>Számítógép, szoftver, nyomtató, fénymásoló és egyéb hardvereszközök beszerzése  Polgármesteri Hivatal működéséhez</t>
  </si>
  <si>
    <t>14.</t>
  </si>
  <si>
    <t>Céltartalék közfoglalkoztatás pályázatra</t>
  </si>
  <si>
    <t>Önkormányzati lakások  és nem lakáscélú ingatlanok felújítása</t>
  </si>
  <si>
    <t>15.</t>
  </si>
  <si>
    <t>I/.</t>
  </si>
  <si>
    <t>Január</t>
  </si>
  <si>
    <t>Február</t>
  </si>
  <si>
    <t>Március</t>
  </si>
  <si>
    <t>Április</t>
  </si>
  <si>
    <t>Május</t>
  </si>
  <si>
    <t>Június</t>
  </si>
  <si>
    <t>Július</t>
  </si>
  <si>
    <t>Sor-szám</t>
  </si>
  <si>
    <t>Költségvetési hiány külső finanszírozását szolgáló finanszírozási műveletek bevételei</t>
  </si>
  <si>
    <t>1.1</t>
  </si>
  <si>
    <t>1.2</t>
  </si>
  <si>
    <t>Alcím</t>
  </si>
  <si>
    <t>16.</t>
  </si>
  <si>
    <t>17.</t>
  </si>
  <si>
    <t>Sorszám</t>
  </si>
  <si>
    <t>18.</t>
  </si>
  <si>
    <t>19.</t>
  </si>
  <si>
    <t>Kulturális keret</t>
  </si>
  <si>
    <t>Bevételek összesen</t>
  </si>
  <si>
    <t>Nagykőrös Város Önkormányzat</t>
  </si>
  <si>
    <t xml:space="preserve">  - Működéssel kapcsolatos Áfa bevételek                        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</si>
  <si>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</si>
  <si>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</si>
  <si>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</si>
  <si>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</si>
  <si>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</si>
  <si>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</si>
  <si>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</si>
  <si>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</si>
  <si>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</si>
  <si>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3</t>
  </si>
  <si>
    <t>3.1</t>
  </si>
  <si>
    <t>3.2</t>
  </si>
  <si>
    <t>Eredeti előirányzat</t>
  </si>
  <si>
    <t>Év sportolója díj</t>
  </si>
  <si>
    <t>Zöldterület gazdálkodással kapcsolatos feladatellátás támogatása</t>
  </si>
  <si>
    <t>Közvilágítás fenntartásának támogatása</t>
  </si>
  <si>
    <t>Települési önkormányzatok kulturális feladatainak támogatása</t>
  </si>
  <si>
    <t>Szociális étkeztetés</t>
  </si>
  <si>
    <t>Házi segítségnyújtás</t>
  </si>
  <si>
    <t>Időskorúak nappali intézményi ellátása</t>
  </si>
  <si>
    <t>Fogyatékos személyek nappali intézményi ellátása</t>
  </si>
  <si>
    <t>Céltartalék járdaépítésre</t>
  </si>
  <si>
    <t>Nagykőrösi Polgármesteri Hivatal</t>
  </si>
  <si>
    <t>Céltartalék víziközművagyon felújítására</t>
  </si>
  <si>
    <t>3. NAGYKŐRÖSI POLGÁRMESTERI HIVATAL BEVÉTELEI</t>
  </si>
  <si>
    <t>Állami feladatok</t>
  </si>
  <si>
    <t>Munkaadókat terhelő járulékok és szociális hozzájárulási adó</t>
  </si>
  <si>
    <t>Kötelező feladatok</t>
  </si>
  <si>
    <t>Önként vállalt feladatok</t>
  </si>
  <si>
    <t>Kötelező feladat</t>
  </si>
  <si>
    <t>Önként vállalt feladat</t>
  </si>
  <si>
    <t>Osztalék, koncessziós díjak</t>
  </si>
  <si>
    <t>Díjak, pótlékok, bírságok</t>
  </si>
  <si>
    <t>Tárgyi eszközök, immateriális javak, vagyoni értékű jog értékesítése, vagyonhasznosításból származó bevétel</t>
  </si>
  <si>
    <t>Részvények, részesedések értékesítése</t>
  </si>
  <si>
    <t>Vállalat értékesítésből, privatizációból származó bevétel</t>
  </si>
  <si>
    <t>Kezességvállalással kapcsolatos megtérülés</t>
  </si>
  <si>
    <t>Saját bevételek</t>
  </si>
  <si>
    <t>Előző években keletkezett tárgyévi fizetési kötelezettség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</si>
  <si>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</si>
  <si>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</si>
  <si>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</si>
  <si>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</si>
  <si>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</si>
  <si>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</si>
  <si>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 vállalásból eredő fizetési kötelezettség</t>
  </si>
  <si>
    <t>Fizetési kötelezettség összesen</t>
  </si>
  <si>
    <t>Önkormányzati tűzoltóság támogatása</t>
  </si>
  <si>
    <t xml:space="preserve"> 
ÖNKORMÁNYZATI BERUHÁZÁSOK, FELÚJÍTÁSOK</t>
  </si>
  <si>
    <t>BERUHÁZÁSOK</t>
  </si>
  <si>
    <t>Beruházások összesen</t>
  </si>
  <si>
    <t>Felújítások összesen</t>
  </si>
  <si>
    <t>3. POLGÁRMESTERI HIVATAL</t>
  </si>
  <si>
    <t>Egyéb működési célú kiadások</t>
  </si>
  <si>
    <t>Működési költségvetés</t>
  </si>
  <si>
    <t>Beruházások</t>
  </si>
  <si>
    <t>Egyéb felhalmozási célú kiadások</t>
  </si>
  <si>
    <t>Felhalmozási költségvetés</t>
  </si>
  <si>
    <t>Működési célú támogatások államháztartáson belül</t>
  </si>
  <si>
    <t>Felhalmozási célú támogatások államháztart. belül</t>
  </si>
  <si>
    <t>091</t>
  </si>
  <si>
    <t>092</t>
  </si>
  <si>
    <t>093</t>
  </si>
  <si>
    <t>094</t>
  </si>
  <si>
    <t>095</t>
  </si>
  <si>
    <t>096</t>
  </si>
  <si>
    <t>097</t>
  </si>
  <si>
    <t>098</t>
  </si>
  <si>
    <t>Közhatalmi bevételek</t>
  </si>
  <si>
    <t>Felhalmozási bevételek</t>
  </si>
  <si>
    <t>Működési célú átvett pénzeszközök</t>
  </si>
  <si>
    <t>Felhalmozási célú átvett pénzeszközök</t>
  </si>
  <si>
    <t>Finanszírozási bevételek</t>
  </si>
  <si>
    <t>KÖZHATALMI BEVÉTELEK</t>
  </si>
  <si>
    <t>FELHALMOZÁSI  BEVÉTELEK</t>
  </si>
  <si>
    <t>FELHALMOZÁSI CÉLÚ TÁMOGATÁSOK ÁLLAMHÁZTATÁSON BELÜLRŐL</t>
  </si>
  <si>
    <t>MŰKÖDÉSI CÉLÚ ÁTVETT PÉNZESZKÖZÖK</t>
  </si>
  <si>
    <t>FELHALMOZÁSI CÉLÚ ÁTVETT PÉNZESZKÖZÖK</t>
  </si>
  <si>
    <t>0911</t>
  </si>
  <si>
    <t>09111</t>
  </si>
  <si>
    <t>Helyi önkormányzatok működésének általános támogatása</t>
  </si>
  <si>
    <t>09402</t>
  </si>
  <si>
    <t>Szolgáltatások ellenértéke</t>
  </si>
  <si>
    <t>Közvetített szolgáltatások ellenértéke</t>
  </si>
  <si>
    <t>09403</t>
  </si>
  <si>
    <t>09404</t>
  </si>
  <si>
    <t>Tulajdonosi bevételek</t>
  </si>
  <si>
    <t>Kiszámlázott általános forgalmi adó</t>
  </si>
  <si>
    <t>09406</t>
  </si>
  <si>
    <t>09407</t>
  </si>
  <si>
    <t>Általános forgalmi adó visszatérítése</t>
  </si>
  <si>
    <t>09408</t>
  </si>
  <si>
    <t>Kamatbevételek</t>
  </si>
  <si>
    <t>09409</t>
  </si>
  <si>
    <t>Egyéb pénzügyi műveletek bevételei</t>
  </si>
  <si>
    <t>Egyéb működési bevételek</t>
  </si>
  <si>
    <t>0934</t>
  </si>
  <si>
    <t>Vagyoni típusú adók</t>
  </si>
  <si>
    <t>0936</t>
  </si>
  <si>
    <t>Egyéb közhatalmi bevétel</t>
  </si>
  <si>
    <t>Helyszíni-, közigazgatási- és szabálysértési bírság</t>
  </si>
  <si>
    <t>09354</t>
  </si>
  <si>
    <t>09355</t>
  </si>
  <si>
    <t>Talajterhelési díj</t>
  </si>
  <si>
    <t>Gépjárműadók</t>
  </si>
  <si>
    <t>09351</t>
  </si>
  <si>
    <t>0935</t>
  </si>
  <si>
    <t>Termékek és szolgáltatások adói</t>
  </si>
  <si>
    <t>Ingatlanok értékesítése</t>
  </si>
  <si>
    <t>0951</t>
  </si>
  <si>
    <t>0953</t>
  </si>
  <si>
    <t>Egyéb tárgyi eszköz értékesítése</t>
  </si>
  <si>
    <t>0954</t>
  </si>
  <si>
    <t>Részesedések értékesítése</t>
  </si>
  <si>
    <t>09112</t>
  </si>
  <si>
    <t>09113</t>
  </si>
  <si>
    <t>09114</t>
  </si>
  <si>
    <t>09115</t>
  </si>
  <si>
    <t>Működési célú központosított előirányzatok</t>
  </si>
  <si>
    <t>0916</t>
  </si>
  <si>
    <t>Egyéb  működési célú, támogatások bevételei államháztartáson belülről</t>
  </si>
  <si>
    <t>0921</t>
  </si>
  <si>
    <t>Felhalmozási célú önkormányzati támogatások</t>
  </si>
  <si>
    <t>0925</t>
  </si>
  <si>
    <t>Egyéb felhalmozási célú   támogatások bevételei államháztartáson belül</t>
  </si>
  <si>
    <t>0963</t>
  </si>
  <si>
    <t>Egyéb működési célú átvett pénzeszköz</t>
  </si>
  <si>
    <t>Felhalmozási célú visszatérítendő támogatások kölcsönök visszatérülése államháztartáson kívülről</t>
  </si>
  <si>
    <t>09812</t>
  </si>
  <si>
    <t>Belföldi értékpapírok bevételei</t>
  </si>
  <si>
    <t>09811</t>
  </si>
  <si>
    <t>Hitel-, kölcsönfelvétel államháztartáson kívülről</t>
  </si>
  <si>
    <t>09813</t>
  </si>
  <si>
    <t>Maradvány igénybevétele</t>
  </si>
  <si>
    <t>09816</t>
  </si>
  <si>
    <t>Központi, irányítószervi támogatás</t>
  </si>
  <si>
    <t>Egyéb közhatalmi bevételek</t>
  </si>
  <si>
    <t>3. POLGÁRMESTERI HIVATAL  KÖLTSÉGVETÉSI KIADÁSAI</t>
  </si>
  <si>
    <t xml:space="preserve"> ÖNKORMÁNYZAT ÁLTAL NYÚJTOTT MŰKÖDÉSI ÉS FELHALMOZÁSI CÉLÚ TÁMOGATÁSOK  </t>
  </si>
  <si>
    <t>Nagykőrösi Szolgáltató Központ</t>
  </si>
  <si>
    <t>Nagykőrösi  Szolgáltató Központ</t>
  </si>
  <si>
    <t>1.NAGYKŐRÖSI SZOLGÁLTATÓ KÖZPONT KIADÁSAI</t>
  </si>
  <si>
    <t>2. NAGYKŐRÖS VÁROS ÖNKORMÁNYZAT</t>
  </si>
  <si>
    <t>FELÚJÍTÁSOK</t>
  </si>
  <si>
    <t>CÉLTARTALÉKOK ÖSSZESEN</t>
  </si>
  <si>
    <t>2.NAGYKŐRÖS VÁROS ÖNKORMÁNYZAT  KIADÁSAI</t>
  </si>
  <si>
    <t>ÖSSZESEN</t>
  </si>
  <si>
    <t>CÉLTARTALÉKOK FELHALMOZÁSRA</t>
  </si>
  <si>
    <t>Megnevezése</t>
  </si>
  <si>
    <t xml:space="preserve">Köztemetés </t>
  </si>
  <si>
    <t>Bérleti díj bevétel, családi események bevétele</t>
  </si>
  <si>
    <t>- Temetőhegy úépítése lakossági hozzájárulás</t>
  </si>
  <si>
    <t>- Gulyás utca útépítése lakossági hozzájárulás</t>
  </si>
  <si>
    <t>Belföldi értékpapirok bevételei</t>
  </si>
  <si>
    <t>Hitel-, kölcsöntörlesztés államháztartáson kívülre</t>
  </si>
  <si>
    <t xml:space="preserve">Belföldi értékpapírok kiadásai </t>
  </si>
  <si>
    <t>Egyéb működési célú kiadás</t>
  </si>
  <si>
    <t>Nagykőrösi Humánszolgáltató Központ</t>
  </si>
  <si>
    <t>Nagykőrösi Arany János Kulturális Központ</t>
  </si>
  <si>
    <t>Települési önkormányzatok szociális és gyermekjóléti és gyermekétkeztetési feladatainak támogatása</t>
  </si>
  <si>
    <t>Lakott külterülettel kapcsolatos feladatok támogatása</t>
  </si>
  <si>
    <t>Auguszt.</t>
  </si>
  <si>
    <t>Szept.</t>
  </si>
  <si>
    <t>Okt.</t>
  </si>
  <si>
    <t>Nov.</t>
  </si>
  <si>
    <t>Dec.</t>
  </si>
  <si>
    <t>Összesen:</t>
  </si>
  <si>
    <t>Nyitó pénzkészlet</t>
  </si>
  <si>
    <t>-----</t>
  </si>
  <si>
    <t>Bevételek összesen:</t>
  </si>
  <si>
    <t>Egyéb felhalmozási kiadások</t>
  </si>
  <si>
    <t>Kiadások összesen:</t>
  </si>
  <si>
    <t>A pálfájai oktatóközpont üzemeltetése (LIFE Nature)</t>
  </si>
  <si>
    <t>Települési önkormányzatok muzeális intézményi feladatainak támogatása</t>
  </si>
  <si>
    <t xml:space="preserve">1. NAGYKŐRÖSI SZOLGÁLTATÓ KÖZPONT BEVÉTELEI </t>
  </si>
  <si>
    <t>A települési önkormányzatok egyes köznevelési és gyermekétkeztetési feladatainak támogatása</t>
  </si>
  <si>
    <t>Önkormányzati hivatal működésének támogatása</t>
  </si>
  <si>
    <t>Közutak fenntartásának támogatása</t>
  </si>
  <si>
    <t>Egyéb kötelező önkormányzati feladatok</t>
  </si>
  <si>
    <t>Óvodapedagógusok, és az óvodapedagógusok nevelő munkáját közvetlenül segítők bértámogatása</t>
  </si>
  <si>
    <t>Óvodaműködtetési támogatás</t>
  </si>
  <si>
    <t>Köznevelési intézmények kiegészítő támogatása</t>
  </si>
  <si>
    <t>- Dolgozók lakásépítésének és vásárlásának támogatása</t>
  </si>
  <si>
    <t>- Önkormányzati helyi lakásépítés és vásárlás támogatása</t>
  </si>
  <si>
    <t>- Temetőhegyi beruházásokhoz nyújtott kölcsönök visszatérülése</t>
  </si>
  <si>
    <t xml:space="preserve"> - Járművek értékesítése</t>
  </si>
  <si>
    <t xml:space="preserve"> - Gépek berendezések értékesítése</t>
  </si>
  <si>
    <t xml:space="preserve"> - Önkormányzati egyéb helyiségek értékesítése</t>
  </si>
  <si>
    <t xml:space="preserve"> - Önkormányzati lakások értékesítése</t>
  </si>
  <si>
    <t xml:space="preserve"> - Épület, építmény értékesítés telekhányaddal</t>
  </si>
  <si>
    <t xml:space="preserve"> - Telek értékesítés</t>
  </si>
  <si>
    <t xml:space="preserve"> - Működéssel kapcsolatos ÁFA bevételek                        </t>
  </si>
  <si>
    <t xml:space="preserve"> - Felhalmozással kapcsolatos ÁFA bevételek</t>
  </si>
  <si>
    <t>Kiszámlázott ÁFA</t>
  </si>
  <si>
    <t>Önkormányzati egyéb helyiségek bérbeadásából származó jövedelem</t>
  </si>
  <si>
    <t>Önkormányzati lakások lakbérbevétele</t>
  </si>
  <si>
    <t>Piac, vásár használati díja</t>
  </si>
  <si>
    <t>Víziközmű használati díja ( szennyvíz)</t>
  </si>
  <si>
    <t>Víziközmű használati díja ( ivóvíz)</t>
  </si>
  <si>
    <t xml:space="preserve">Adóbevételekhez bevételekhez kapcsolódó pótlékok, bírságok </t>
  </si>
  <si>
    <t>- Építésügyi bírság</t>
  </si>
  <si>
    <t>- Környezetvédelmi bírság</t>
  </si>
  <si>
    <t>- Lakossági közműfejlesztési támogatás</t>
  </si>
  <si>
    <t>1. NAGYKŐRÖSI SZOLGÁLTATÓ KÖZPONT</t>
  </si>
  <si>
    <t>CÉLTARTALÉKOK MŰKÖDÉSRE</t>
  </si>
  <si>
    <t xml:space="preserve">NAGYKŐRÖS VÁROS ÖNKORMÁNYZAT 
ÁLTALÁNOS ÉS CÉLTARTALÉKAI
</t>
  </si>
  <si>
    <t>NAGYKŐRÖS VÁROS ÖNKORMÁNYZAT LÉTSZÁM ADATAI</t>
  </si>
  <si>
    <t>Helyi adók</t>
  </si>
  <si>
    <t>Tárgyévben keletkezett, illetve keletkező, 
tárgyévet terhelő fizetési kötelezettség</t>
  </si>
  <si>
    <t xml:space="preserve">   ÖNKORMÁNYZAT ÁLTAL FOLYÓSÍTOTT ELLÁTOTTAK PÉNZBELI JUTTATÁSAI</t>
  </si>
  <si>
    <t>Közfoglalkoztatás</t>
  </si>
  <si>
    <t>Egyéb felhalmozási célú átvett pénzeszközök</t>
  </si>
  <si>
    <t>09411</t>
  </si>
  <si>
    <t>Egyéb működési bevétel</t>
  </si>
  <si>
    <t xml:space="preserve">  - Előző évi költségvetési maradványának igénybevétele</t>
  </si>
  <si>
    <t>Kiegészítő támogatás óvodapedagógusok minősítéséből adódó többletkiadásokhoz</t>
  </si>
  <si>
    <t>Foglakoztatatási támogatásban részesülő fogyatékos nappali intézményben ellátottak száma</t>
  </si>
  <si>
    <t xml:space="preserve">Gyermekétkeztetés üzemeltetési támogatása </t>
  </si>
  <si>
    <t>Gyermekétkeztetés támogatása- Afinanszírozási szempontból elismert dolgozók bértámogatása</t>
  </si>
  <si>
    <t>Helyi önkormányzatok működésének támogatása</t>
  </si>
  <si>
    <t>Nem közművel összegyűjtött ht. szennyvíz ártalmatlanítása</t>
  </si>
  <si>
    <t>Egyéb városi feladatok (kitüntető cím,pályázati díjak)</t>
  </si>
  <si>
    <t>70 éven felüli lakosok szilárd hulladékszállítási díjának támogatása</t>
  </si>
  <si>
    <t>ebből: kulturális központ</t>
  </si>
  <si>
    <t>ebből:könyvtár</t>
  </si>
  <si>
    <t>ebből múzeum</t>
  </si>
  <si>
    <t>ebből: könyvtár</t>
  </si>
  <si>
    <t>ebből: múzeum</t>
  </si>
  <si>
    <t>Kulturális Központ</t>
  </si>
  <si>
    <t>Könyvtár</t>
  </si>
  <si>
    <t>Múzeum</t>
  </si>
  <si>
    <t>Települési önkormányzatok támogatása a nyilvános könyvtári ellátási és a közművelődési feladatainak támogatása</t>
  </si>
  <si>
    <t xml:space="preserve">Nagykőrös Város Önkormányzat likviditási terve
 </t>
  </si>
  <si>
    <t>Hazai és uniós támogatással megvalósuló feladatok</t>
  </si>
  <si>
    <t xml:space="preserve"> - Osztalékbevétel</t>
  </si>
  <si>
    <t xml:space="preserve"> - Ellátottak pénzbeli juttatásaiból az elszámolást követő
   évben történő visszafizetések </t>
  </si>
  <si>
    <t>A települési önkormányzatok szociális feladatainak egyéb támogatása</t>
  </si>
  <si>
    <t>Nyári prevenciós tábor</t>
  </si>
  <si>
    <t xml:space="preserve">Rendkívüli átmeneti segély </t>
  </si>
  <si>
    <t>Köznevelési intézmények működtetéséhez kapcsolódó támogatás</t>
  </si>
  <si>
    <t>Család -és gyermekjóléti szolgálat</t>
  </si>
  <si>
    <t>Család -és gyermekjóléti központ</t>
  </si>
  <si>
    <t>Rászoruló gyermekek szünidei étkeztetésének támogatása</t>
  </si>
  <si>
    <t>Önkormányzati Hírek hirdetési bevétel</t>
  </si>
  <si>
    <t>0974</t>
  </si>
  <si>
    <t>0975</t>
  </si>
  <si>
    <t>Központi háziorvosi ügyeleti ellátás (Kocsér, Nyársapát)</t>
  </si>
  <si>
    <t>Települési támogatás  - egyéb</t>
  </si>
  <si>
    <t>Települési támogatás - ápolási díj</t>
  </si>
  <si>
    <t xml:space="preserve">Rendkívüli települési támogatás </t>
  </si>
  <si>
    <t>Nagykőrösi Városi Óvoda</t>
  </si>
  <si>
    <t>ELŐIRÁNYZAT FELHASZNÁLÁSI ÜTEMTERV</t>
  </si>
  <si>
    <t>Előirányzat</t>
  </si>
  <si>
    <t>Augusztus</t>
  </si>
  <si>
    <t>Szeptember</t>
  </si>
  <si>
    <t>Október</t>
  </si>
  <si>
    <t>November</t>
  </si>
  <si>
    <t>December</t>
  </si>
  <si>
    <t>BEVÉTELEK</t>
  </si>
  <si>
    <t>Összesen</t>
  </si>
  <si>
    <t>KIADÁSOK</t>
  </si>
  <si>
    <t xml:space="preserve">Halmozott előirányzat maradvány </t>
  </si>
  <si>
    <t>Rovat száma</t>
  </si>
  <si>
    <t>B1</t>
  </si>
  <si>
    <t>B11</t>
  </si>
  <si>
    <t>B3</t>
  </si>
  <si>
    <t>B34</t>
  </si>
  <si>
    <t>B35</t>
  </si>
  <si>
    <t>B36</t>
  </si>
  <si>
    <t>B4</t>
  </si>
  <si>
    <t>B5</t>
  </si>
  <si>
    <t>B2</t>
  </si>
  <si>
    <t>B6</t>
  </si>
  <si>
    <t>B7</t>
  </si>
  <si>
    <t>B1-B7</t>
  </si>
  <si>
    <t>B8</t>
  </si>
  <si>
    <t>K1</t>
  </si>
  <si>
    <t>K4</t>
  </si>
  <si>
    <t>K6</t>
  </si>
  <si>
    <t>K2</t>
  </si>
  <si>
    <t>K3</t>
  </si>
  <si>
    <t>K5</t>
  </si>
  <si>
    <t>K7</t>
  </si>
  <si>
    <t>K8</t>
  </si>
  <si>
    <t>K1-K8</t>
  </si>
  <si>
    <t>K9</t>
  </si>
  <si>
    <t>FINANSZÍROZÁSI KIADÁSOK</t>
  </si>
  <si>
    <t>Szabadság tér 5. épület felújítása</t>
  </si>
  <si>
    <t>Oktatás- személyi jellegű támogatás</t>
  </si>
  <si>
    <t>Oktatás-háztartásnak adott működési támogatás</t>
  </si>
  <si>
    <t>10. tábla 2.1 sor!! Oktatás - személyi jellegű költségek</t>
  </si>
  <si>
    <t>Költségvetési maradvány működési célú felhasználása</t>
  </si>
  <si>
    <t>Céltartalék környezetvédelmi feladatokra</t>
  </si>
  <si>
    <t xml:space="preserve">Nagykőrösi Arany János Kulturális Központ </t>
  </si>
  <si>
    <t>Egyenleg (10-20)</t>
  </si>
  <si>
    <t>ebből: Önkormányzat működési támogatásai</t>
  </si>
  <si>
    <t>Értékesítési és forgalmi adó (iparűzési adó)</t>
  </si>
  <si>
    <t>Gépjármű adó</t>
  </si>
  <si>
    <t>- Előző évi előirányzat maradvány, 
költségvetési maradvány</t>
  </si>
  <si>
    <t>Tárgyév</t>
  </si>
  <si>
    <t>Szerződés 
azonosító</t>
  </si>
  <si>
    <t>Partner megnevezés</t>
  </si>
  <si>
    <t>Szerződés tárgya</t>
  </si>
  <si>
    <t>Szerződés érvényességének kezdete</t>
  </si>
  <si>
    <t>Szerződés érvényességének vége</t>
  </si>
  <si>
    <t>Szerződés összege (Ft)</t>
  </si>
  <si>
    <t>Köva-Kom Nonprofit Zrt.</t>
  </si>
  <si>
    <t>Önkormányzati tulajdonban lévő lakás és nem lakás célú ingatlanok kezelése</t>
  </si>
  <si>
    <t>határozatlan</t>
  </si>
  <si>
    <t>Magyar Vöröskereszt Pest Megyei Szervezete</t>
  </si>
  <si>
    <t>Szociális feladatok  elvégzése</t>
  </si>
  <si>
    <t>Datakart Mérnöki Tanácsadó, Szolgáltató és Kereskedelmi Kft.</t>
  </si>
  <si>
    <t>Térinformatikai alaprendszer</t>
  </si>
  <si>
    <t>Nagykőrös belterület digitális földmérési alaptérkép</t>
  </si>
  <si>
    <t>Ügyfél- és terméktámogatás</t>
  </si>
  <si>
    <t>337.500 Ft/év+áfa</t>
  </si>
  <si>
    <t>984 677 Ft+ÁFA/hó</t>
  </si>
  <si>
    <t>Home Digital Kft.</t>
  </si>
  <si>
    <t>Vasútáll. videórendszer időszakos átvizsg. és karbantart.</t>
  </si>
  <si>
    <t>50.000 Ft/év</t>
  </si>
  <si>
    <t>100.000 Ft+ÁFA/év</t>
  </si>
  <si>
    <t>Bácsvíz Víz- és Csatornaszolgáltató Zrt.</t>
  </si>
  <si>
    <t>Közkifolyók</t>
  </si>
  <si>
    <t>1.376.808 Ft+ÁFA/év</t>
  </si>
  <si>
    <t>Z_15_8</t>
  </si>
  <si>
    <t>Maxer Hosting Kft</t>
  </si>
  <si>
    <t>Z_15_18</t>
  </si>
  <si>
    <t>Nk. városközpont (16 kamera)időszakos átvizs. és karbantart.</t>
  </si>
  <si>
    <t>Z_15_42</t>
  </si>
  <si>
    <t>Vízikömű-vagyon üzemeltetése II. számú módosítás</t>
  </si>
  <si>
    <t>Z_15_45</t>
  </si>
  <si>
    <t>Firstep Kft.</t>
  </si>
  <si>
    <t>Domain (DNS1, DNS2) fenntartása tárhely nélkül</t>
  </si>
  <si>
    <t>Z_15_47</t>
  </si>
  <si>
    <t>Kozeschnik és Társa Ügyvédi Iroda</t>
  </si>
  <si>
    <t>Jogi feladatok ellátása</t>
  </si>
  <si>
    <t>2.600.000 Ft+ÁFA/év</t>
  </si>
  <si>
    <t>Z_15_232</t>
  </si>
  <si>
    <t>Közúti jelzőtáblák felmérése és térképi nyilvántartása</t>
  </si>
  <si>
    <t>Z_15_237</t>
  </si>
  <si>
    <t>Pro Regio Kft.</t>
  </si>
  <si>
    <t>Pályázatfigyelési és pályázatelőkészítési feladatok végzése</t>
  </si>
  <si>
    <t>700.000 Ft+ÁFA/év</t>
  </si>
  <si>
    <t>Szerződés azonosító</t>
  </si>
  <si>
    <t>Karabíner.hu KFT.</t>
  </si>
  <si>
    <t>Tánczos Tibor</t>
  </si>
  <si>
    <t>Magyar Telekom Nyrt.</t>
  </si>
  <si>
    <t>T - Systems Magyarország Zrt.</t>
  </si>
  <si>
    <t>Hungaro-Force &amp; Monitoring Kft.</t>
  </si>
  <si>
    <t>Magyar Posta Zrt.</t>
  </si>
  <si>
    <t>Thermotrade Kft.</t>
  </si>
  <si>
    <t>KÖZVETETT TÁMOGATÁSOK RÉSZLETEZÉSE</t>
  </si>
  <si>
    <t xml:space="preserve"> ezer forint   </t>
  </si>
  <si>
    <t>Bevételi jogcím</t>
  </si>
  <si>
    <t>Eredeti
előirányzat</t>
  </si>
  <si>
    <t>Aktuális módosítás 
( +/-)</t>
  </si>
  <si>
    <t>Jelenleg
módosított előirányzat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</si>
  <si>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</si>
  <si>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</si>
  <si>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</si>
  <si>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</si>
  <si>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</si>
  <si>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>Építményadó (Műemlék, szükséglakás)</t>
  </si>
  <si>
    <t xml:space="preserve">Iparűzési adó állandó jelleggel végzett iparűzési tevékenység után </t>
  </si>
  <si>
    <t>Gépjárműadóból biztosított kedvezmény, mentesség</t>
  </si>
  <si>
    <r>
      <t xml:space="preserve">                 </t>
    </r>
    <r>
      <rPr>
        <i/>
        <sz val="11"/>
        <rFont val="Times New Roman"/>
        <family val="1"/>
        <charset val="238"/>
      </rPr>
      <t xml:space="preserve"> Mozgáskorlátozott mentesség</t>
    </r>
  </si>
  <si>
    <t>Egyéb kedvezmény</t>
  </si>
  <si>
    <t>70 éven felüliek részére nyújtott szemétszállítási díjkompenzáció</t>
  </si>
  <si>
    <t>Egyéb kölcsön elengedése</t>
  </si>
  <si>
    <t>Önk. Helységek bérleti díj támogatása</t>
  </si>
  <si>
    <t>Több éves kihatással járó kötelezettségvállalások _ Nagykőrös Város Önkormányzat</t>
  </si>
  <si>
    <t>S_11_316</t>
  </si>
  <si>
    <t>S_13_152</t>
  </si>
  <si>
    <t>S_13_153</t>
  </si>
  <si>
    <t>S_13_154</t>
  </si>
  <si>
    <t>Z_13_148</t>
  </si>
  <si>
    <t>Z_14_205_207,      258_323,      Z_15_43</t>
  </si>
  <si>
    <t>Z_14_34</t>
  </si>
  <si>
    <t>Több éves kihatással járó kötelezettségvállalások _ Nagykőrösi Polgármesteri Hivatal</t>
  </si>
  <si>
    <t>2. NAGYKŐRÖS VÁROS ÖNKORMÁNYZAT BEVÉTELEI FORINTBAN</t>
  </si>
  <si>
    <t>Támogató szolgáltatás</t>
  </si>
  <si>
    <t xml:space="preserve">2. NAGYKŐRÖS VÁROS ÖNKORMÁNYZAT BEVÉTELEI </t>
  </si>
  <si>
    <t>Köztemető fenntartásával  kapcsolatos feladatok támogatása</t>
  </si>
  <si>
    <t>Jelzőrendszeres házi segítségnyújtás</t>
  </si>
  <si>
    <t>Gyermekvédelmi kedvezmény (Erzsébet utalvány formájában)</t>
  </si>
  <si>
    <t>Mezei őrszolgálat támogatása</t>
  </si>
  <si>
    <t>Közfoglalkoztatás támogatása</t>
  </si>
  <si>
    <t>Képviselő-testület, polgármester, bizottságok</t>
  </si>
  <si>
    <t>Rendszeres gyermekvédelmi kedvezmény</t>
  </si>
  <si>
    <t xml:space="preserve"> ebből: Központi irányítás</t>
  </si>
  <si>
    <t xml:space="preserve"> ebből : Intézményüzemeltetés</t>
  </si>
  <si>
    <t>ebből: Kertészet</t>
  </si>
  <si>
    <t xml:space="preserve"> ebből: Intézményüzemeltetés</t>
  </si>
  <si>
    <t>Kertészet</t>
  </si>
  <si>
    <t xml:space="preserve">Központi irányítás </t>
  </si>
  <si>
    <t>Inézményüzemeltetés</t>
  </si>
  <si>
    <t>Közigazgatási feladatok</t>
  </si>
  <si>
    <t>- Tanyavillamosítás visszafizetése</t>
  </si>
  <si>
    <t xml:space="preserve">Nagykőrösi Szolgáltató Központ </t>
  </si>
  <si>
    <t>2020. évi előirányzat</t>
  </si>
  <si>
    <t>Z_16_235</t>
  </si>
  <si>
    <t>Kopifo Kft</t>
  </si>
  <si>
    <t>Meditors terméktámogatás</t>
  </si>
  <si>
    <t>Mm maX Kft.</t>
  </si>
  <si>
    <t>Mid-Roll Kft.</t>
  </si>
  <si>
    <t>Engedélyezett létszám (fő)  
január 1.</t>
  </si>
  <si>
    <t>Egyéb bevétel</t>
  </si>
  <si>
    <t>Következő évi előleg</t>
  </si>
  <si>
    <t>Államháztartáson belüli megelőlegezések visszafizetése</t>
  </si>
  <si>
    <t>Bankbetét</t>
  </si>
  <si>
    <t>Betét megszüntetése</t>
  </si>
  <si>
    <t>NAGYKŐRÖS VÁROS ÖNKORMÁNYZAT ÁHT 102.§ (3) BEKEZDÉS SZERINTI MÉRLEGE</t>
  </si>
  <si>
    <t>Polgármesteri illetmény támogatása</t>
  </si>
  <si>
    <t>Bölcsődei üzemeltetési támogatás</t>
  </si>
  <si>
    <t>A finanszírozás szempontjából elismert szakmai dolgozók bértámogatása: bölcsődei dajkák, középfokú végzettségű kisgyermeknevelők</t>
  </si>
  <si>
    <t>A finanszírozás szempontjából elismert szakmai dolgozók bértámogatása: felsőfokú végzettségű kisgyermeknevelők</t>
  </si>
  <si>
    <t>A finanszírozás szempontjából elismert szakmai dolgozók bértámogatása ( szociális szakosított ellátások)</t>
  </si>
  <si>
    <t>A finanszírozás szempontjából elismert szakmai dolgozók bértámogatása (szakosított szociális ellátások)</t>
  </si>
  <si>
    <t>Gyermekétkeztetés támogatása - A finanszírozás szempontjából elimsert dolgozók támogatása</t>
  </si>
  <si>
    <t>Bölcsőde üzemeltetési támogatás</t>
  </si>
  <si>
    <t>FELHALMOZÁSI KIADÁSOK ÖSSZESEN</t>
  </si>
  <si>
    <t>Kis értékű tárgyi eszközök, bútorok beszerzése</t>
  </si>
  <si>
    <t>Bölcsőde - a Finanszírozás szempontjából elismert szakmai dolgozók bértámogatása - bölcsődei dajkák, középfokú végzettségű kisgyermeknevelők</t>
  </si>
  <si>
    <t>Bölcsőde - A finanszírozás szempontjából elismert szakmai dolgozók bértámogatása - felsőfokú végzettségű kisgyermeknevelők</t>
  </si>
  <si>
    <t>540*4 negyedév</t>
  </si>
  <si>
    <t>kp</t>
  </si>
  <si>
    <t>Háziorvosi és fogorvosi ellátás támogatása</t>
  </si>
  <si>
    <t>216 000 Ft/év+áfa</t>
  </si>
  <si>
    <t>Z_14_58</t>
  </si>
  <si>
    <t>NKM Áramhálózati Kft. (Démász)</t>
  </si>
  <si>
    <t>Villamosenergia-elosztás Széchenyi tér 13. Vízgépészet</t>
  </si>
  <si>
    <t>6 562 Ft+ÁFA/hó</t>
  </si>
  <si>
    <t>Z_14_59</t>
  </si>
  <si>
    <t>4 167 Ft+ÁFA/hó</t>
  </si>
  <si>
    <t>Villamosenergia-elosztás Kossuth Lajos út 1106/3.</t>
  </si>
  <si>
    <t>Z_14_60</t>
  </si>
  <si>
    <t>7 083 Ft+ÁFA/hó</t>
  </si>
  <si>
    <t>Villamosnergia-elosztás Tormás u. 0. MOBA</t>
  </si>
  <si>
    <t>Z_14_61</t>
  </si>
  <si>
    <t>Villamosenergia-elosztás Hősök tere 8. Ref. templom világítása</t>
  </si>
  <si>
    <t>8 750 Ft+ÁFA/hó</t>
  </si>
  <si>
    <t>Villamosenergia-elosztás Cifrakert 5716/5</t>
  </si>
  <si>
    <t>Z_14_64</t>
  </si>
  <si>
    <t>Z_14_65</t>
  </si>
  <si>
    <t>73 333 Ft+ÁFA/hó</t>
  </si>
  <si>
    <t>Villamosenergia-elosztás Abonyi út 22. MOBA</t>
  </si>
  <si>
    <t>150 Ft+ÁFA/hó</t>
  </si>
  <si>
    <t>Z_14_69</t>
  </si>
  <si>
    <t>Villamosenergia-elosztás Deák tér 21/3.</t>
  </si>
  <si>
    <t>75 000 Ft+ÁFA/hó</t>
  </si>
  <si>
    <t>Z_14_71</t>
  </si>
  <si>
    <t>Z_14_72</t>
  </si>
  <si>
    <t>Z_14_73</t>
  </si>
  <si>
    <t>Villamosenergia-elosztás Tabán u. 0.</t>
  </si>
  <si>
    <t>317 Ft+ÁFA/hó</t>
  </si>
  <si>
    <t>Villamosenergia-elosztás Pótharaszti u. 0.</t>
  </si>
  <si>
    <t>34 167 Ft+ÁFA/hó</t>
  </si>
  <si>
    <t>Villamosenergia-elosztás Ceglédi út 26.</t>
  </si>
  <si>
    <t>16 666 Ft+ÁFA/hó</t>
  </si>
  <si>
    <t>Z_14_76</t>
  </si>
  <si>
    <t>Villamosenergia-elosztás Tomori u. 5.</t>
  </si>
  <si>
    <t>125 Ft+ÁFA/hó</t>
  </si>
  <si>
    <t>Villamosenergia-elosztás Szabadság tér 5. Kat.temp.400022067</t>
  </si>
  <si>
    <t>Z_14_78</t>
  </si>
  <si>
    <t>Víziközmű-szolgáltatás Tomori utca</t>
  </si>
  <si>
    <t>Z_14_151</t>
  </si>
  <si>
    <t>90 000 Ft+ÁFA/év</t>
  </si>
  <si>
    <t>Z_14_152</t>
  </si>
  <si>
    <t>Víziközmű-szolgáltatás (Szabadság tér)</t>
  </si>
  <si>
    <t>91 000 Ft+ÁFA/év</t>
  </si>
  <si>
    <t>Z_14_153</t>
  </si>
  <si>
    <t>Víziközmű-szolgáltatás Rákóczi út 5.</t>
  </si>
  <si>
    <t>42 000 Ft+ÁFA/év</t>
  </si>
  <si>
    <t>Z_14_162</t>
  </si>
  <si>
    <t>Villamosenergia-elosztás Kecskeméti út 1X.</t>
  </si>
  <si>
    <t>16 000 Ft+ÁFA/év</t>
  </si>
  <si>
    <t>Z_14_176</t>
  </si>
  <si>
    <t>17 000 Ft+ÁFA/év</t>
  </si>
  <si>
    <t>Z_14_177</t>
  </si>
  <si>
    <t>Villamosenergia-elosztás Tomori u. 4. (Garázs)</t>
  </si>
  <si>
    <t>Villamosenergia-elosztás Tomori u. 4. (Műhely)</t>
  </si>
  <si>
    <t>3 000 Ft+ÁFA/év</t>
  </si>
  <si>
    <t xml:space="preserve">Nagykőrös város honlapjának üzemeltetése </t>
  </si>
  <si>
    <t>9900 Ft+ÁFA/hó</t>
  </si>
  <si>
    <t>120.000 Ft/év</t>
  </si>
  <si>
    <t>Szabadság tér 5107/10 fogy.hely.: 0400815431 elosztási díj</t>
  </si>
  <si>
    <t>Z_17_28</t>
  </si>
  <si>
    <t>14 000 Ft + ÁFA</t>
  </si>
  <si>
    <t>Pediátria Bt.</t>
  </si>
  <si>
    <t>Z_17_192</t>
  </si>
  <si>
    <t>Iskola- és ifjúság-egészségügyi orvosi ellátás</t>
  </si>
  <si>
    <t>4 541 Ft/hó</t>
  </si>
  <si>
    <t>Vezetékes internet szolgáltatás - Cifrakertben</t>
  </si>
  <si>
    <t>Z_17_194</t>
  </si>
  <si>
    <t>8 400 Ft + ÁFA</t>
  </si>
  <si>
    <t>Z_17_211</t>
  </si>
  <si>
    <t>Reklámkiadvány kézbesítése (Önkormányzati Hírek)</t>
  </si>
  <si>
    <t>Inter-Ambulance Eü-i és Szolgáltató Zrt.</t>
  </si>
  <si>
    <t>Z_17_326</t>
  </si>
  <si>
    <t>Telj. körű központi háziorvosi ügyelet ellátása</t>
  </si>
  <si>
    <t>Deák tér SELLŐ szökőkút f.h.:1000017820</t>
  </si>
  <si>
    <t>Z_17_368</t>
  </si>
  <si>
    <t>140 000 Ft/év + ÁFA</t>
  </si>
  <si>
    <t>BÉKÁS szökőkút vízellátása f.h.:1000017818</t>
  </si>
  <si>
    <t>Z_17_369</t>
  </si>
  <si>
    <t>Z_17_370</t>
  </si>
  <si>
    <t>60 000 Ft/év + ÁFA</t>
  </si>
  <si>
    <t>Széchenyi tér 3. szökőkút vízellátása f.h.:1000017821</t>
  </si>
  <si>
    <t>180 000 Ft/év + ÁFA</t>
  </si>
  <si>
    <t>Céginfo.hu Kft.</t>
  </si>
  <si>
    <t>Magyar Telekom Távközlési Nyrt.</t>
  </si>
  <si>
    <t>E.On Energiakereskedelmi Kft.</t>
  </si>
  <si>
    <t>MVM Partner Zrt.</t>
  </si>
  <si>
    <t xml:space="preserve"> ebből : Gyermekétkeztetés</t>
  </si>
  <si>
    <t xml:space="preserve"> ebből: Gyermekétkeztetés</t>
  </si>
  <si>
    <t>Gyermekétkeztetés</t>
  </si>
  <si>
    <t>Csaba terv</t>
  </si>
  <si>
    <t>kabinet terv</t>
  </si>
  <si>
    <t xml:space="preserve">ebből: kulturális központ </t>
  </si>
  <si>
    <t>busz, szállítás</t>
  </si>
  <si>
    <t>Fejlesztő foglalkoztatás finanszírozása</t>
  </si>
  <si>
    <t>0965</t>
  </si>
  <si>
    <t>Közbeszerzéssel kapcsolatos feladatok</t>
  </si>
  <si>
    <t>Gépjárműadó</t>
  </si>
  <si>
    <t xml:space="preserve">                  Környezetkímélő gépkocsi</t>
  </si>
  <si>
    <t>Temetőhegy érdekeltségi hozzájárulás</t>
  </si>
  <si>
    <t xml:space="preserve">ebből: Központi irányítás </t>
  </si>
  <si>
    <t xml:space="preserve">ebből: Intézményüzemeltetés </t>
  </si>
  <si>
    <t>ebből: Gyermekétekztetés</t>
  </si>
  <si>
    <t xml:space="preserve">ebből: Kertészet </t>
  </si>
  <si>
    <t>ebből: Kertészet (Fűnyíró traktor)</t>
  </si>
  <si>
    <t>ebből: Intézményüzemeltetés (Balatonakali - kazáncsere)</t>
  </si>
  <si>
    <t>ebből: Gyermekétekztetés (konyha fejlesztés)</t>
  </si>
  <si>
    <t>2021. évi előirányzat</t>
  </si>
  <si>
    <t>NAGYKŐRÖS VÁROS ÖNKORMÁNYZAT KÖLTSÉGVETÉSI MÉRLEGE
Bevételek</t>
  </si>
  <si>
    <t>NAGYKŐRÖS VÁROS ÖNKORMÁNYZAT KÖLTSÉGVETÉSI MÉRLEGE
Kiadások</t>
  </si>
  <si>
    <t>Bérkompenzáció 2019.</t>
  </si>
  <si>
    <t>2018. évről áthúzódó bérkompenzáció</t>
  </si>
  <si>
    <t>Óvodai és iskolai szociális segítő tevékenység támogatása</t>
  </si>
  <si>
    <t>Intézmény-üzemeltetési támogatás (szakosított szociális ellátások)</t>
  </si>
  <si>
    <t>Ágota terv 1000</t>
  </si>
  <si>
    <t>Erdőgazdálkodás is benne van!!!</t>
  </si>
  <si>
    <t>"Tehetséggondozás kiszélesítése" ösztöndíj pályázat</t>
  </si>
  <si>
    <t>ebből: kulturális központ (földszinti vizesblokk felújítása)</t>
  </si>
  <si>
    <t>2022. évi előirányzat</t>
  </si>
  <si>
    <t>-</t>
  </si>
  <si>
    <t>Finanszírozási kiadások, megelőlegezés visszafizetése</t>
  </si>
  <si>
    <t>Államháztartáson belüli megelőlegezések</t>
  </si>
  <si>
    <t>KÖVA-KOM Nonprofit Zrt tagi kölcsön</t>
  </si>
  <si>
    <t>09814</t>
  </si>
  <si>
    <t>Lakásbérlemények: 
Üzemeltetés: 1.119.070 Ft/hó+áfa Karbantartás: 1.119.070 Ft/hó+áfa Nem lakáscélú bérlemények: Üzemeltetés: 946.302 Ft/hó+áfa Karbantartás: 946.302 Ft/hó+áfa</t>
  </si>
  <si>
    <t>Közvilágítási célú eszközök üzemeltetése és karbantartása</t>
  </si>
  <si>
    <t>Ügyfél- és terméktámogatási szolgáltatás: 392.000 Ft/év+áfa Nagykőrös csapadékcsatorna 
e-közmű adatszolgáltatás: 
98.000 Ft/év+áfa</t>
  </si>
  <si>
    <t>10 942 Ft + ÁFA</t>
  </si>
  <si>
    <t>Háziorvosi és fogorvosi ellátásá támogatása</t>
  </si>
  <si>
    <t>Céltartalék PM KEREKPARUT 2018 pályázat megvalósításához területvásárlás és kisajátítás kiadásaira</t>
  </si>
  <si>
    <t>adatok e Ft-ban</t>
  </si>
  <si>
    <t xml:space="preserve">Összesen     </t>
  </si>
  <si>
    <t>3000_késedelmi</t>
  </si>
  <si>
    <t>2019-ben 39e Ft volt</t>
  </si>
  <si>
    <t>Ágota terv esküvőre 2.000 Ft</t>
  </si>
  <si>
    <t>nszk telszla: 19-ben 46e Ft, korm hiv telszla:72e</t>
  </si>
  <si>
    <t>összes bérleti díj, szolg. Ellenértéke, közv. Szolgáltatás, egyéb költség 27 %-a, 2019ban 5200 ezer Ft</t>
  </si>
  <si>
    <t>mobiltelefondíj továbbszámlázás miatt havi kb 35e Ft</t>
  </si>
  <si>
    <t>2019-ben 36ezer Ft volt</t>
  </si>
  <si>
    <t>2019-ben 201e Ft</t>
  </si>
  <si>
    <t>Ágota tervében benne van 8000 Ft felújítás - karbantartásként kezeljük</t>
  </si>
  <si>
    <t>25 ezer továbbképzés, 200ezer ruha, fegyver 50 ezer</t>
  </si>
  <si>
    <t>19927-3/2019 iksz. Levél alapján</t>
  </si>
  <si>
    <t>19927-4/2019 iksz levél alapján</t>
  </si>
  <si>
    <t>ÖH nyomdaköltség és terjesztés, honlap üzemeltetés 30 500+ kiadványok 2000 - 19927-4/2019 sz irat alapján</t>
  </si>
  <si>
    <t>kabinet terv 19927-4/2019 sz irat alapján</t>
  </si>
  <si>
    <t>Városi kitüntetés: 1.000, Kult tel. Díj:800, Mindenképpen:200</t>
  </si>
  <si>
    <t>Karácsonyi városdíszítés. 6000, Polgárrá fogadás: 500 19927-4/2019 ikt levél alapján</t>
  </si>
  <si>
    <t>19927-6/2019 sz. levél alapján</t>
  </si>
  <si>
    <t>hajléktalan ellátás:700, gyermekek átmeneti otthona 6200,  19927-6/2019 sz. levél alapján</t>
  </si>
  <si>
    <t>19927-4/2019 iksz levél alapján, Ágota tervben 100e szerepel</t>
  </si>
  <si>
    <t>19927-8/2019 sz levél alapján</t>
  </si>
  <si>
    <t>Árpi terv+ kabinet 700 e Ft</t>
  </si>
  <si>
    <t>Szabadság tér 5.  - Szerver</t>
  </si>
  <si>
    <t>2019 tény +5%</t>
  </si>
  <si>
    <t>szerződés</t>
  </si>
  <si>
    <t>Luther és Bethlen G. utcák útépítés</t>
  </si>
  <si>
    <t>Városi utak felújítása</t>
  </si>
  <si>
    <t>Céltartalék 2020. évi beruházásokhoz, pályázatokhoz</t>
  </si>
  <si>
    <t xml:space="preserve">Céltartalék normatív támogatás visszafizetésére </t>
  </si>
  <si>
    <t>maradvány +2020. évi</t>
  </si>
  <si>
    <t>FF-62/3-2018 sz döntés alapján, 2020-ban is marad</t>
  </si>
  <si>
    <t>Praxis havi díj:2088, területi díj: 310, rezsi tám: 6240, átlag havi 300 e Ft plusz teljesítmény díj, összesen 12 238e Ft, 2019. évi bevétel 10.968 eFt</t>
  </si>
  <si>
    <t>hirdetés, 2019-ben 2491</t>
  </si>
  <si>
    <t>NK/509-49 és 48/2019 es szerződések alapján, Kocsér 1294, Nyársapát 1533</t>
  </si>
  <si>
    <t>2019-ben beérkezett a 2018. évi elszámolás és 1-3 negyedév, ez 79698e Ft (50.900 és 28798)</t>
  </si>
  <si>
    <t>2019es teljesítés 521e</t>
  </si>
  <si>
    <t>2019-ben kiállított számlák értéke 2 315e Ft</t>
  </si>
  <si>
    <t>2019: 2191e Ft</t>
  </si>
  <si>
    <t xml:space="preserve">2019-ben  Kürtilapos d. hulladéklerakó (730 e Ft), Kálvin téri víztorony (2536 e Ft) </t>
  </si>
  <si>
    <t>2019-ben összesen 79976 e Ft</t>
  </si>
  <si>
    <t>késedelmi kamatok, kerekítés, egyéb</t>
  </si>
  <si>
    <t>ÖH (648 e ft), közvetíttett szolg. Ellenértéke (540e Ft), víziközmű (21060 e Ft) piac-vásár 6750 e Ft), haszonbérlet (135e Ft), közterület fogl. díj (621 e Ft), bérleti díj (882 e Ft), bérbeadás (21060 e Ft)</t>
  </si>
  <si>
    <t>köztemetés visszafiz 2019-ben 366e Ft</t>
  </si>
  <si>
    <t>üezemltetlés: 31000, karbant: 31000  Ft, egyéb: 1000</t>
  </si>
  <si>
    <t>2019-es évre 12 000 ei volt felhasználás 6.973</t>
  </si>
  <si>
    <t xml:space="preserve">Bérleti díj: Agrárkamara (583 e Ft), NKM (384 eFt), Családi események: 1 600 e Ft). Kormányhivatal ( 4.188 e Ft), </t>
  </si>
  <si>
    <t>Agrárkamara rezsiköltség (404 e Ft),Korm. Hivatal (8 527 e Ft), NSZK (2181 e Ftegész évre, 06.30-ig 1091), , mobiltelefonok továbbszámlázása 2000 ezer Ft), 46+72 = 13.230 eFt</t>
  </si>
  <si>
    <t>NKM: 104eFt, kamara: 157e Ft, Korm. Hiv:1.131eFt, kamara: 109, korm, hiiv:2302, nszk:589/2=294, nszk tel:12e Ft, korm hiv. tel szla:20e, teldíj továbbszla: 540 e Ft, esküvő 432</t>
  </si>
  <si>
    <t>29837 könyvtár kp-i támogatás</t>
  </si>
  <si>
    <t>158211+88607 e Ft a kpi- támogatás+5825 (B16on)</t>
  </si>
  <si>
    <t>191.990 a kpi támogatás</t>
  </si>
  <si>
    <t>Ágota NK/804-2/2020 sz irata alapján</t>
  </si>
  <si>
    <t>2023. évi előirányzat</t>
  </si>
  <si>
    <t>múzeum tám nincs még meg, de 2019-ben 18375 volt</t>
  </si>
  <si>
    <t>2019-ben eredeti ei: 936 , módosított ei: 1529 (juti nélkül)</t>
  </si>
  <si>
    <t>2019-ben eredeti ei: 5112, módosított ei: 6.516 (juti nélkül)</t>
  </si>
  <si>
    <t>2019-es adat</t>
  </si>
  <si>
    <t>Nagykőrösi Városi Óvoda (laptop, számítógép, bútor, szőnyeg)</t>
  </si>
  <si>
    <t>380.342 az ovi kp-i támogatása</t>
  </si>
  <si>
    <t>KÖVA-KOM működési támogatása</t>
  </si>
  <si>
    <t>3.1.1</t>
  </si>
  <si>
    <t>3.1.2</t>
  </si>
  <si>
    <t>3.1.3</t>
  </si>
  <si>
    <t>3.2.1</t>
  </si>
  <si>
    <t>3.2.2</t>
  </si>
  <si>
    <t>közutakról 28499 e Ft levéve, Köva miatt</t>
  </si>
  <si>
    <r>
      <t xml:space="preserve">köztisztaság (30.500 e Ft), </t>
    </r>
    <r>
      <rPr>
        <sz val="10"/>
        <rFont val="Times New Roman"/>
        <family val="1"/>
        <charset val="238"/>
      </rPr>
      <t xml:space="preserve">hóeltakarítás (12 500 e Ft), rágcsáló (600 e Ft), parlagfű (500 e Ft), rekultivált hulladéklerakó (2 500 e Ft) </t>
    </r>
    <r>
      <rPr>
        <sz val="10"/>
        <color indexed="8"/>
        <rFont val="Times New Roman"/>
        <family val="1"/>
        <charset val="238"/>
      </rPr>
      <t xml:space="preserve">2018. évi teljesítés: 37500 e Ft. </t>
    </r>
  </si>
  <si>
    <t xml:space="preserve">Csónakázó tó üzemeltetés 4000 Ft lejön </t>
  </si>
  <si>
    <t>lejön: köztisztaság 30.500, hóeltak:12.500, parlagfű: 500, rekultivált: 2500, csak rágcsálóirtás marad, meg szúnyogírtás 400</t>
  </si>
  <si>
    <t>Céltartalék a Nagykőrösi Szolgáltató Központ által ellátott feladatok II. félévi finanszírozására</t>
  </si>
  <si>
    <t>Nagykőrösi Humánszolgáltató Központ (Szolnoki úti épület részleges felújítása)</t>
  </si>
  <si>
    <t>Nagykőrösi Városi Óvoda (Sziget utcai épület részleges felújítás)</t>
  </si>
  <si>
    <t>PM_KEREKPARUT_2018/4</t>
  </si>
  <si>
    <t>PM_Csapvízgazd pályázat_2018/61</t>
  </si>
  <si>
    <t>PM_KEREKPARUT_2018/4 kiadásai</t>
  </si>
  <si>
    <t>VP6-19.2.1-38 Pálfája szálláshely szolgáltatás kialakítása</t>
  </si>
  <si>
    <t>VP6-19.2.1-38 Pálfája szálláshely szolgáltatás kialakítása támogatás</t>
  </si>
  <si>
    <t>2019. évi bevétel</t>
  </si>
  <si>
    <t>2019 évi tény adatok levéve: 6741 e Ft+1000eft</t>
  </si>
  <si>
    <t>Környezetvédelmi alap szla: 46.092.538 Ft (maradványból)- talajterhelés ide jön (2 m Ft a tervezett bevétel)</t>
  </si>
  <si>
    <t>PM_ONKORMUT_2018 - Piac körüli utcák felújítása</t>
  </si>
  <si>
    <t>VP6-7.2.1-Vásártér felújítása, kiszolgáló épület építése</t>
  </si>
  <si>
    <t>üzemeltetés-karbantartás számláinak áfája+ felújítás negyede 13 000 Ft - lakás-nemlakás, 6300 . Felújítás áfa, plusz vásártér épület áfa 10.869 e Ft</t>
  </si>
  <si>
    <t>BMÖGFT/5-18/2019. Október 23. tér, Gyopár út útfelújítása</t>
  </si>
  <si>
    <t>POHI működési támogatás (214.115 e Ft), Önkormányzati támogatás: 247.830 eFt, mezőőri tám. Átvezetése is (2.160 e Ft)</t>
  </si>
  <si>
    <t>Városi utak felújítása 9.sz mellékletből</t>
  </si>
  <si>
    <t>Luther és Bethlen G. utcák útépítés a 9.sz mellékletből</t>
  </si>
  <si>
    <t>Kinizsi Sportegyesület klubház beruházás támogatása</t>
  </si>
  <si>
    <t xml:space="preserve">PM_CSAPVÍZGAZD_2018/61 </t>
  </si>
  <si>
    <t>2020. évi 
kötelezettség vállalás br. összege (Ft)</t>
  </si>
  <si>
    <t>10.200 ft/ ellátott (Számlák alapján)</t>
  </si>
  <si>
    <t>478-40/2017</t>
  </si>
  <si>
    <t>NKM Energia Zrt.</t>
  </si>
  <si>
    <t>2 190 Ft+ÁFA/év</t>
  </si>
  <si>
    <t>Közvilágítás díja</t>
  </si>
  <si>
    <t>1970-39/2017</t>
  </si>
  <si>
    <t>35.000.000 Ft+Áfa/év</t>
  </si>
  <si>
    <t>NKM Energia Zrt</t>
  </si>
  <si>
    <t>98 108 Ft/hét</t>
  </si>
  <si>
    <t>1.642.000 Ft/hó</t>
  </si>
  <si>
    <t>658/7/2005</t>
  </si>
  <si>
    <t>6649-4/2017</t>
  </si>
  <si>
    <t>13/2014</t>
  </si>
  <si>
    <t>H/39/2013</t>
  </si>
  <si>
    <t>77-29/2019</t>
  </si>
  <si>
    <t>NK/377-104/2019</t>
  </si>
  <si>
    <t>NK/2332-15/2019</t>
  </si>
  <si>
    <t>6394-5/2018</t>
  </si>
  <si>
    <t>NK/377-23/2019</t>
  </si>
  <si>
    <t>H/17/2013</t>
  </si>
  <si>
    <t>3908-2/2015</t>
  </si>
  <si>
    <t>NK/377-13/2019</t>
  </si>
  <si>
    <t>NK/15514-2/2018</t>
  </si>
  <si>
    <t>3676-9/2016</t>
  </si>
  <si>
    <t>5544-8/2018</t>
  </si>
  <si>
    <t>3675-10/2014</t>
  </si>
  <si>
    <t/>
  </si>
  <si>
    <t>3629-19/2015 és 1946-12/2018</t>
  </si>
  <si>
    <t>NK/2350-40/2019</t>
  </si>
  <si>
    <t>NK/377-107/2019</t>
  </si>
  <si>
    <t>1388-9/2018 és 418-5/2007</t>
  </si>
  <si>
    <t>3815-33/2017</t>
  </si>
  <si>
    <t>77-30/2015</t>
  </si>
  <si>
    <t>767-18/2016</t>
  </si>
  <si>
    <t>NK/826-12/2019</t>
  </si>
  <si>
    <t>NK/407-2/2018</t>
  </si>
  <si>
    <t>H/41/2013</t>
  </si>
  <si>
    <t>H/11/2013</t>
  </si>
  <si>
    <t>NK/377-54/2019</t>
  </si>
  <si>
    <t>1687-4/2009</t>
  </si>
  <si>
    <t>NK/2546-28/2019</t>
  </si>
  <si>
    <t>3815-32/2017</t>
  </si>
  <si>
    <t>4401-1/2015</t>
  </si>
  <si>
    <t>377-23/2005</t>
  </si>
  <si>
    <t>NK/407-1/2018</t>
  </si>
  <si>
    <t>NK/8-1/2019</t>
  </si>
  <si>
    <t>NK/21827-2/2019</t>
  </si>
  <si>
    <t>NK/16898-1/2019</t>
  </si>
  <si>
    <t>NK/16898-2/2019</t>
  </si>
  <si>
    <t>NK/500-1/2019</t>
  </si>
  <si>
    <t>NK/500-2/2019</t>
  </si>
  <si>
    <t>Abacus Számítástechnikai Kft.</t>
  </si>
  <si>
    <t>Aqua Vital Hungary Kft.</t>
  </si>
  <si>
    <t>Delfin Rendszerház Kft.</t>
  </si>
  <si>
    <t>eKözig Zrt.</t>
  </si>
  <si>
    <t>Enti Szoft Kft.</t>
  </si>
  <si>
    <t>Globomax Zrt.</t>
  </si>
  <si>
    <t>Gold Idea Kft.</t>
  </si>
  <si>
    <t>Govern-Soft Kft.</t>
  </si>
  <si>
    <t>Kórház-Rendelőintézet</t>
  </si>
  <si>
    <t>Közinformatika Közig.Inf.Sz.K.Nonpr.Kft.</t>
  </si>
  <si>
    <t>Kronos Trade Kft.</t>
  </si>
  <si>
    <t>Multi Alarm Zrt.</t>
  </si>
  <si>
    <t>Mvm Partner Energiakereskedelmi Zrt.</t>
  </si>
  <si>
    <t>Omv Hungária Kft.</t>
  </si>
  <si>
    <t>Pasarét Auditor Kft.</t>
  </si>
  <si>
    <t>Pr-Telecom Zrt.</t>
  </si>
  <si>
    <t>Signalmik Kft.</t>
  </si>
  <si>
    <t>SKLB Immojuris Bt.</t>
  </si>
  <si>
    <t>Trióda Vagyonvédelmi Kft.</t>
  </si>
  <si>
    <t>Generali Biztosító Zrt.</t>
  </si>
  <si>
    <t>Allianz Hungária Zrt.</t>
  </si>
  <si>
    <t>WinSzoc - szociális támogatások Rendszere átalánydíjas jogszab. követés</t>
  </si>
  <si>
    <t>Aqua Cooler készülék bérleti díja és ballonos víz</t>
  </si>
  <si>
    <t>Szabadság tér 5. - Szennyvízelvezetés, ivóvízszolg.</t>
  </si>
  <si>
    <t>Szabadság tér 4. Szennyvízelvezetés, ivóvízszolg.</t>
  </si>
  <si>
    <t>Céginfó online előfizetési díj</t>
  </si>
  <si>
    <t>Borítékoló és nyomtató üzemeltetése (Adón)</t>
  </si>
  <si>
    <t xml:space="preserve">ESET Endpoint Security Business Edition vírusvizsgáló szoftver </t>
  </si>
  <si>
    <t>Domain név és Web tárhely szolgáltatás</t>
  </si>
  <si>
    <t>Mikrovoks szavazatszámláló rendszer átalánydíjas karbantartása</t>
  </si>
  <si>
    <t>Technikai feltételek biztosítása testületi ülésekhez</t>
  </si>
  <si>
    <t>Belső ellenőrzési feladatok</t>
  </si>
  <si>
    <t>Földkönyv modul szoftver követés támogatás díja</t>
  </si>
  <si>
    <t>Riasztórendszer távfelügyeleti díj</t>
  </si>
  <si>
    <t>Tűz- és munkavédelmi szaktevékenység</t>
  </si>
  <si>
    <t>Foglalkozás egészségügyi vizsgálat</t>
  </si>
  <si>
    <t>Információbiztonsági rendszer működtetése</t>
  </si>
  <si>
    <t xml:space="preserve">NetSupport DNA IT felügyeleti és készletgazdálkodási szoftver licenc és szoftverkövetési díj </t>
  </si>
  <si>
    <t>Levélfeladás</t>
  </si>
  <si>
    <t>Beszédcélú szolgáltatás, telefondíj</t>
  </si>
  <si>
    <t>Alközpont 2 db SIM-kártya díja</t>
  </si>
  <si>
    <t>Diszpécserszolgálat ellátása Szabadság tér 5. (tűzvédelem)</t>
  </si>
  <si>
    <t>Üzemanyag beszerzés</t>
  </si>
  <si>
    <t>Könyvvizsgálói díj</t>
  </si>
  <si>
    <t>PR-Net 100 (30,00/3,00 Mbit/s) internet hozzáférés (kabinet)</t>
  </si>
  <si>
    <t>Gázjelző berendezés karbantartási és kiszállási díja</t>
  </si>
  <si>
    <t>Adatvédelmi feladatok megvalósítása érdekében üzletviteli tanácsadási szolgáltatás</t>
  </si>
  <si>
    <t>Telefonközpont üzemeltetése, karbantartása, ügyeleti szolgáltatás</t>
  </si>
  <si>
    <t>Közérdekű adatok feltöltése Nagykőrös Város honlapján</t>
  </si>
  <si>
    <t>Hoval berendezések karbantartási díja</t>
  </si>
  <si>
    <t>Tűzjelző rendszer karbantartása - Szabadság tér 5. alatt</t>
  </si>
  <si>
    <t>RXC-250 Skoda casco biztosítás (kötvény)</t>
  </si>
  <si>
    <t>RXC-250 Skoda kötelező biztosítás (kötvény)</t>
  </si>
  <si>
    <t>LXB-537 Skoda casco biztosítás (kötvény)</t>
  </si>
  <si>
    <t>LXB-537 Skoda kötelező biztosítás (kötvény)</t>
  </si>
  <si>
    <t>NAB-200 Skoda kötelező biztosítás (kötvény)</t>
  </si>
  <si>
    <t>NAB-200 Skoda casco biztosítás (kötvény)</t>
  </si>
  <si>
    <t xml:space="preserve">2.500 Ft+áfa bérleti díj
1.770 Ft+áfa ásványvíz
660 Ft+áfa/csomag </t>
  </si>
  <si>
    <t>1.915 Ft+áfa/hó ívóvíz alapdíj
1.969 Ft+áfa/hó szennyvízelvezetés és tisztítás alapdíj
+fogyasztás</t>
  </si>
  <si>
    <t>327 Ft+áfa/hó ívóvíz alapdíj
338 Ft+áfa/hó szennyvízelvezetés és tisztítás alapdíj
+fogyasztás</t>
  </si>
  <si>
    <t>113.940 Ft+áfa/év</t>
  </si>
  <si>
    <t>19.000 Ft+áfa/hó alapdíj
30.000 Ft+áfa/alkalom kiszállási díj
1,80 Ft/ A/4 nyomatdíj</t>
  </si>
  <si>
    <t>21.086 Ft/m3/h/év rhd alapdíj
0,057 Ft/MJ rhd forgalomdíj
2,28 Ft/MJ gázdíj</t>
  </si>
  <si>
    <t>177.690 Ft+áfa/év</t>
  </si>
  <si>
    <t>305.760 Ft+áfa/év</t>
  </si>
  <si>
    <t>12.990 Ft+áfa/év</t>
  </si>
  <si>
    <t>64.797 Ft+áfa/negyedév</t>
  </si>
  <si>
    <t>100.000 Ft+áfa/hó</t>
  </si>
  <si>
    <t>22.000 Ft+áfa/ellenőri nap</t>
  </si>
  <si>
    <t>3.900 Ft+áfa/hó</t>
  </si>
  <si>
    <t>64.000 Ft+áfa/hó</t>
  </si>
  <si>
    <t>61.600 Ft/hó</t>
  </si>
  <si>
    <t>595.000 Ft+áfa/év</t>
  </si>
  <si>
    <t>6.130.103 Ft/2019. év</t>
  </si>
  <si>
    <t>864.596 Ft/2019. év</t>
  </si>
  <si>
    <t>18.380 Ft/2db/hó</t>
  </si>
  <si>
    <t>6.000 Ft+áfa/negyedév</t>
  </si>
  <si>
    <t>1,55 Ft+áfa/nyomatdíj</t>
  </si>
  <si>
    <t>20,60 Ft/kWh</t>
  </si>
  <si>
    <t>124.200 Ft+áfa/hó</t>
  </si>
  <si>
    <t>26.500 Ft+áfa/hó GFG-1
33.500 Ft+áfa/hó GFG-2
90 Ft+áfa/km gépkocsi ktg</t>
  </si>
  <si>
    <t>40.000 Ft/hó</t>
  </si>
  <si>
    <t>70.000 Ft+áfa/félév</t>
  </si>
  <si>
    <t>165.258 Ft/év</t>
  </si>
  <si>
    <t>65.880 Ft/év</t>
  </si>
  <si>
    <t>170.160 Ft/év</t>
  </si>
  <si>
    <t>62.040 Ft/év</t>
  </si>
  <si>
    <t>70.680 Ft/év</t>
  </si>
  <si>
    <t>109.320 Ft/év</t>
  </si>
  <si>
    <t>2020. évi kötelezettségvállalás bruttó összege (Ft)</t>
  </si>
  <si>
    <t>85.000Ft+áfa/hó</t>
  </si>
  <si>
    <t>3.610 Ft+ áfa/hó</t>
  </si>
  <si>
    <t>43.200 Ft+áfa/negyedév</t>
  </si>
  <si>
    <t>Földgáz szolgáltatás Szabadság tér 4. és 5.</t>
  </si>
  <si>
    <t>7.000 Ft+áfa/havi követési díj</t>
  </si>
  <si>
    <t>15.251 FT+áfa/havi átalánydíj</t>
  </si>
  <si>
    <t>NK/11865-23/2019</t>
  </si>
  <si>
    <t>951.344 Ft+áfa/2019. év
(az egységár az érvényes bruttó vételár)</t>
  </si>
  <si>
    <t>90.000 Ft/hó
10.000 Ft+áfa/hó</t>
  </si>
  <si>
    <t>84.000 Ft+áfa/hó</t>
  </si>
  <si>
    <t>46.187 Ft+áfa/negyedév</t>
  </si>
  <si>
    <t>Foglakoztatási támogatásban részesülő fogyatékos nappali intézményben ellátottak száma</t>
  </si>
  <si>
    <t>2018. évi tényadatok</t>
  </si>
  <si>
    <t>2019. évi várható tényadatok</t>
  </si>
  <si>
    <t>2020. évi tervadatok</t>
  </si>
  <si>
    <t>RNÖ helyiség bérleti díja</t>
  </si>
  <si>
    <t>18.900 FT+ÁFA/hó</t>
  </si>
  <si>
    <t>SOS-Gyermekfalu Magyarországi Alapítványa</t>
  </si>
  <si>
    <t>Gyermekek átmeneti ellátása</t>
  </si>
  <si>
    <t>3.500.000 Ft/ év</t>
  </si>
  <si>
    <t>NK/7065-8/2018</t>
  </si>
  <si>
    <t xml:space="preserve"> NK/20858-34/2019</t>
  </si>
  <si>
    <t>NK/1194/2019</t>
  </si>
  <si>
    <t>Nefag Zrt</t>
  </si>
  <si>
    <t xml:space="preserve">Erdőgazdálkodás, szántó és rét művelés </t>
  </si>
  <si>
    <t>1000 Ft+Áfa/hó</t>
  </si>
  <si>
    <t>78 000 000 Ft + ÁFA/év</t>
  </si>
  <si>
    <t>Z-17_235</t>
  </si>
  <si>
    <t>Pulmolingua Kft</t>
  </si>
  <si>
    <t>450 000 Ft/év</t>
  </si>
  <si>
    <t>Cardio-Ped Bt. (Dr.Oroszi Magdolna)</t>
  </si>
  <si>
    <t>Z_17_236</t>
  </si>
  <si>
    <t>400 000 Ft/év</t>
  </si>
  <si>
    <t>Menhely az Állatokért Környezetvédelmi és Állatvédelmi Közhasznú Alapítvány</t>
  </si>
  <si>
    <t>NK/1681-1/2018</t>
  </si>
  <si>
    <t>kóbor állatok befogása, megfigyelése, örökbeadása</t>
  </si>
  <si>
    <t>NK/1681-2/2018</t>
  </si>
  <si>
    <t>84 Ft/kg + 6 000 Ft kiszállásí díj/alkalom</t>
  </si>
  <si>
    <t>14 000 Ft befogás, megfigyelés/alkalom +  6.000Ft/alkalom kiszállás</t>
  </si>
  <si>
    <t>Előző évi pénzmaradvány, előirányzat-maradvány igénybevétele utáni bevételek</t>
  </si>
  <si>
    <t>MŰKÖDÉSI CÉLÚ TÁMOGATÁSOK ÁLLAMHÁZTARTÁSON BELÜLRŐL</t>
  </si>
  <si>
    <t xml:space="preserve">Adóbevételekhez, bevételekhez kapcsolódó pótlékok, bírságok </t>
  </si>
  <si>
    <t>Víziközmű használati díja (ivóvíz)</t>
  </si>
  <si>
    <t>Víziközmű használati díja (szennyvíz)</t>
  </si>
  <si>
    <t xml:space="preserve"> - Telek értékesítése</t>
  </si>
  <si>
    <t xml:space="preserve"> - Épület, építmény értékesítése telekhányaddal</t>
  </si>
  <si>
    <t>FELHALMOZÁSI CÉLÚ TÁMOGATÁSOK ÁLLAMHÁZTARTÁSON BELÜLRŐL</t>
  </si>
  <si>
    <t>ÖNKORMÁNYZAT ADÓSSÁGOT KELETKEZTETŐ ÜGYLETEIBŐL EREDŐ FIZETÉSI KÖTELEZETTSÉGEINEK BEMUTATÁSA</t>
  </si>
  <si>
    <t>állati hulladékok összegyűjtése és ártalmatlanítása</t>
  </si>
  <si>
    <t>Önkormányzati nyilvántartásokat támogató helyi nyilvántartó rendszer</t>
  </si>
  <si>
    <t>Irattároló páternoszter karbantartási díja</t>
  </si>
  <si>
    <t>Xerox WC 5330+fin nyomtató beerendezés nyomtatási díja</t>
  </si>
  <si>
    <t>Áramdíj Szabdság tér 5., 4. és Tomori u. 4.</t>
  </si>
  <si>
    <t>-ebből:    Építményadó ( Mezőgazdasági célú hasznosítás)</t>
  </si>
  <si>
    <t>-ebből:       Költségvetési, társadalmi szervezetek mentessége</t>
  </si>
  <si>
    <t>Magánszemélyek kommunális adója (70 éven felüliek és tűzoltók)</t>
  </si>
  <si>
    <t>Helyiségek hasznosítása utáni kedvezmény, mentesség</t>
  </si>
  <si>
    <t>Eszközök hasznosítása utáni kedvezmény, mentesség</t>
  </si>
  <si>
    <t>Lakossági folyékony hulladékszállítás támogatása</t>
  </si>
  <si>
    <t>Egyéb felhalmozási célú támogatások bevételei államháztartáson belül</t>
  </si>
  <si>
    <t>Helyi sportrendezvények támogatása</t>
  </si>
</sst>
</file>

<file path=xl/styles.xml><?xml version="1.0" encoding="utf-8"?>
<styleSheet xmlns="http://schemas.openxmlformats.org/spreadsheetml/2006/main">
  <numFmts count="12">
    <numFmt numFmtId="6" formatCode="#,##0\ &quot;Ft&quot;;[Red]\-#,##0\ &quot;Ft&quot;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0.0%"/>
    <numFmt numFmtId="166" formatCode="#,##0.0"/>
    <numFmt numFmtId="167" formatCode="#,###"/>
    <numFmt numFmtId="168" formatCode="_-* #,##0\ _F_t_-;\-* #,##0\ _F_t_-;_-* &quot;-&quot;?\ _F_t_-;_-@_-"/>
    <numFmt numFmtId="169" formatCode="#,##0_ ;\-#,##0\ "/>
    <numFmt numFmtId="170" formatCode="yyyy\-mm\-dd"/>
    <numFmt numFmtId="171" formatCode="#,##0\ &quot;Ft&quot;"/>
  </numFmts>
  <fonts count="10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i/>
      <sz val="10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i/>
      <sz val="10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2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8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 CE"/>
      <charset val="238"/>
    </font>
    <font>
      <b/>
      <sz val="14"/>
      <name val="Calibri"/>
      <family val="2"/>
      <charset val="238"/>
    </font>
    <font>
      <i/>
      <sz val="10"/>
      <name val="Arial"/>
      <family val="2"/>
      <charset val="238"/>
    </font>
    <font>
      <b/>
      <sz val="10"/>
      <color rgb="FF006100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.5"/>
      <name val="Times New Roman"/>
      <family val="1"/>
      <charset val="238"/>
    </font>
    <font>
      <sz val="11.5"/>
      <name val="Times New Roman"/>
      <family val="1"/>
      <charset val="238"/>
    </font>
    <font>
      <sz val="11.5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color rgb="FF3F3F3F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i/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8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2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2" borderId="0" applyNumberFormat="0" applyBorder="0" applyAlignment="0" applyProtection="0"/>
    <xf numFmtId="0" fontId="27" fillId="12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0" borderId="0" applyNumberFormat="0" applyBorder="0" applyAlignment="0" applyProtection="0"/>
    <xf numFmtId="0" fontId="35" fillId="17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3" borderId="0" applyNumberFormat="0" applyBorder="0" applyAlignment="0" applyProtection="0"/>
    <xf numFmtId="0" fontId="35" fillId="17" borderId="0" applyNumberFormat="0" applyBorder="0" applyAlignment="0" applyProtection="0"/>
    <xf numFmtId="0" fontId="35" fillId="10" borderId="0" applyNumberFormat="0" applyBorder="0" applyAlignment="0" applyProtection="0"/>
    <xf numFmtId="0" fontId="36" fillId="10" borderId="37" applyNumberFormat="0" applyAlignment="0" applyProtection="0"/>
    <xf numFmtId="0" fontId="37" fillId="0" borderId="0" applyNumberFormat="0" applyFill="0" applyBorder="0" applyAlignment="0" applyProtection="0"/>
    <xf numFmtId="0" fontId="38" fillId="0" borderId="38" applyNumberFormat="0" applyFill="0" applyAlignment="0" applyProtection="0"/>
    <xf numFmtId="0" fontId="39" fillId="0" borderId="39" applyNumberFormat="0" applyFill="0" applyAlignment="0" applyProtection="0"/>
    <xf numFmtId="0" fontId="40" fillId="0" borderId="40" applyNumberFormat="0" applyFill="0" applyAlignment="0" applyProtection="0"/>
    <xf numFmtId="0" fontId="40" fillId="0" borderId="0" applyNumberFormat="0" applyFill="0" applyBorder="0" applyAlignment="0" applyProtection="0"/>
    <xf numFmtId="0" fontId="41" fillId="18" borderId="41" applyNumberFormat="0" applyAlignment="0" applyProtection="0"/>
    <xf numFmtId="0" fontId="42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2" fillId="11" borderId="43" applyNumberFormat="0" applyFont="0" applyAlignment="0" applyProtection="0"/>
    <xf numFmtId="0" fontId="35" fillId="17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17" borderId="0" applyNumberFormat="0" applyBorder="0" applyAlignment="0" applyProtection="0"/>
    <xf numFmtId="0" fontId="35" fillId="22" borderId="0" applyNumberFormat="0" applyBorder="0" applyAlignment="0" applyProtection="0"/>
    <xf numFmtId="0" fontId="44" fillId="23" borderId="0" applyNumberFormat="0" applyBorder="0" applyAlignment="0" applyProtection="0"/>
    <xf numFmtId="0" fontId="45" fillId="2" borderId="44" applyNumberFormat="0" applyAlignment="0" applyProtection="0"/>
    <xf numFmtId="0" fontId="46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47" fillId="24" borderId="0" applyNumberFormat="0" applyBorder="0" applyAlignment="0" applyProtection="0"/>
    <xf numFmtId="0" fontId="48" fillId="15" borderId="0" applyNumberFormat="0" applyBorder="0" applyAlignment="0" applyProtection="0"/>
    <xf numFmtId="0" fontId="49" fillId="2" borderId="37" applyNumberFormat="0" applyAlignment="0" applyProtection="0"/>
    <xf numFmtId="0" fontId="50" fillId="26" borderId="0" applyNumberFormat="0" applyBorder="0" applyAlignment="0" applyProtection="0"/>
    <xf numFmtId="0" fontId="63" fillId="0" borderId="0"/>
    <xf numFmtId="0" fontId="94" fillId="27" borderId="86" applyNumberFormat="0" applyAlignment="0" applyProtection="0"/>
    <xf numFmtId="0" fontId="1" fillId="0" borderId="0"/>
  </cellStyleXfs>
  <cellXfs count="1398">
    <xf numFmtId="0" fontId="0" fillId="0" borderId="0" xfId="0"/>
    <xf numFmtId="0" fontId="9" fillId="0" borderId="0" xfId="5" applyFont="1" applyBorder="1" applyAlignment="1">
      <alignment vertical="center"/>
    </xf>
    <xf numFmtId="0" fontId="7" fillId="0" borderId="0" xfId="5" applyFont="1" applyBorder="1" applyAlignment="1">
      <alignment horizontal="center" vertical="center"/>
    </xf>
    <xf numFmtId="0" fontId="10" fillId="0" borderId="0" xfId="5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5" applyFont="1" applyFill="1" applyAlignment="1">
      <alignment vertical="center"/>
    </xf>
    <xf numFmtId="0" fontId="11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6" fillId="0" borderId="0" xfId="0" applyFont="1"/>
    <xf numFmtId="49" fontId="16" fillId="0" borderId="0" xfId="0" applyNumberFormat="1" applyFont="1"/>
    <xf numFmtId="0" fontId="16" fillId="0" borderId="0" xfId="0" applyFont="1"/>
    <xf numFmtId="0" fontId="21" fillId="0" borderId="0" xfId="0" applyFont="1"/>
    <xf numFmtId="0" fontId="18" fillId="0" borderId="0" xfId="0" applyFont="1"/>
    <xf numFmtId="0" fontId="23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1" fontId="16" fillId="0" borderId="0" xfId="0" applyNumberFormat="1" applyFont="1"/>
    <xf numFmtId="49" fontId="26" fillId="0" borderId="25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0" fontId="55" fillId="0" borderId="0" xfId="3" applyFont="1" applyBorder="1"/>
    <xf numFmtId="0" fontId="55" fillId="0" borderId="0" xfId="3" applyFont="1"/>
    <xf numFmtId="0" fontId="54" fillId="0" borderId="31" xfId="3" applyFont="1" applyBorder="1" applyAlignment="1">
      <alignment horizontal="center" vertical="center" wrapText="1"/>
    </xf>
    <xf numFmtId="41" fontId="54" fillId="0" borderId="13" xfId="0" applyNumberFormat="1" applyFont="1" applyBorder="1" applyAlignment="1">
      <alignment horizontal="center" vertical="center" wrapText="1"/>
    </xf>
    <xf numFmtId="0" fontId="54" fillId="0" borderId="13" xfId="3" applyFont="1" applyBorder="1" applyAlignment="1">
      <alignment horizontal="center" vertical="center" wrapText="1"/>
    </xf>
    <xf numFmtId="0" fontId="54" fillId="0" borderId="13" xfId="4" applyFont="1" applyBorder="1" applyAlignment="1">
      <alignment horizontal="center" vertical="center" wrapText="1"/>
    </xf>
    <xf numFmtId="0" fontId="54" fillId="0" borderId="14" xfId="3" applyFont="1" applyBorder="1" applyAlignment="1">
      <alignment horizontal="center" wrapText="1"/>
    </xf>
    <xf numFmtId="0" fontId="54" fillId="3" borderId="25" xfId="3" applyFont="1" applyFill="1" applyBorder="1" applyAlignment="1">
      <alignment horizontal="left" vertical="center" wrapText="1" indent="1"/>
    </xf>
    <xf numFmtId="41" fontId="54" fillId="3" borderId="2" xfId="3" applyNumberFormat="1" applyFont="1" applyFill="1" applyBorder="1" applyAlignment="1">
      <alignment horizontal="right" vertical="center" indent="1"/>
    </xf>
    <xf numFmtId="0" fontId="55" fillId="0" borderId="0" xfId="3" applyFont="1" applyAlignment="1">
      <alignment vertical="center"/>
    </xf>
    <xf numFmtId="41" fontId="55" fillId="0" borderId="2" xfId="3" applyNumberFormat="1" applyFont="1" applyBorder="1" applyAlignment="1">
      <alignment horizontal="right" vertical="center" indent="1"/>
    </xf>
    <xf numFmtId="41" fontId="57" fillId="0" borderId="2" xfId="3" applyNumberFormat="1" applyFont="1" applyBorder="1" applyAlignment="1">
      <alignment horizontal="right" vertical="center" indent="1"/>
    </xf>
    <xf numFmtId="0" fontId="57" fillId="0" borderId="0" xfId="3" applyFont="1" applyAlignment="1">
      <alignment vertical="center"/>
    </xf>
    <xf numFmtId="0" fontId="55" fillId="0" borderId="0" xfId="3" applyFont="1" applyFill="1" applyAlignment="1">
      <alignment vertical="center"/>
    </xf>
    <xf numFmtId="41" fontId="55" fillId="0" borderId="2" xfId="3" applyNumberFormat="1" applyFont="1" applyFill="1" applyBorder="1" applyAlignment="1">
      <alignment horizontal="right" vertical="center" indent="1"/>
    </xf>
    <xf numFmtId="0" fontId="54" fillId="3" borderId="25" xfId="3" applyFont="1" applyFill="1" applyBorder="1" applyAlignment="1">
      <alignment horizontal="left" vertical="center" indent="1"/>
    </xf>
    <xf numFmtId="41" fontId="54" fillId="0" borderId="2" xfId="3" applyNumberFormat="1" applyFont="1" applyBorder="1" applyAlignment="1">
      <alignment horizontal="right" vertical="center" indent="1"/>
    </xf>
    <xf numFmtId="0" fontId="55" fillId="0" borderId="0" xfId="3" applyFont="1" applyFill="1" applyAlignment="1">
      <alignment vertical="center" wrapText="1"/>
    </xf>
    <xf numFmtId="0" fontId="54" fillId="3" borderId="25" xfId="3" applyFont="1" applyFill="1" applyBorder="1" applyAlignment="1">
      <alignment horizontal="left" vertical="center" wrapText="1"/>
    </xf>
    <xf numFmtId="0" fontId="54" fillId="3" borderId="0" xfId="3" applyFont="1" applyFill="1" applyAlignment="1">
      <alignment vertical="center"/>
    </xf>
    <xf numFmtId="0" fontId="54" fillId="0" borderId="25" xfId="3" applyNumberFormat="1" applyFont="1" applyFill="1" applyBorder="1" applyAlignment="1">
      <alignment horizontal="left" vertical="center" wrapText="1"/>
    </xf>
    <xf numFmtId="0" fontId="55" fillId="0" borderId="0" xfId="3" applyNumberFormat="1" applyFont="1" applyFill="1" applyAlignment="1">
      <alignment vertical="center" wrapText="1"/>
    </xf>
    <xf numFmtId="0" fontId="54" fillId="4" borderId="27" xfId="3" applyFont="1" applyFill="1" applyBorder="1" applyAlignment="1">
      <alignment horizontal="left" vertical="center" indent="1"/>
    </xf>
    <xf numFmtId="41" fontId="54" fillId="4" borderId="15" xfId="3" applyNumberFormat="1" applyFont="1" applyFill="1" applyBorder="1" applyAlignment="1">
      <alignment horizontal="right" vertical="center" indent="1"/>
    </xf>
    <xf numFmtId="0" fontId="54" fillId="4" borderId="15" xfId="3" applyFont="1" applyFill="1" applyBorder="1" applyAlignment="1">
      <alignment horizontal="left" vertical="center" indent="1"/>
    </xf>
    <xf numFmtId="41" fontId="58" fillId="4" borderId="16" xfId="3" applyNumberFormat="1" applyFont="1" applyFill="1" applyBorder="1" applyAlignment="1">
      <alignment horizontal="right" vertical="center" indent="1"/>
    </xf>
    <xf numFmtId="0" fontId="55" fillId="3" borderId="0" xfId="3" applyFont="1" applyFill="1"/>
    <xf numFmtId="0" fontId="54" fillId="0" borderId="0" xfId="3" applyFont="1" applyAlignment="1">
      <alignment horizontal="left" indent="1"/>
    </xf>
    <xf numFmtId="3" fontId="54" fillId="0" borderId="0" xfId="3" applyNumberFormat="1" applyFont="1"/>
    <xf numFmtId="0" fontId="55" fillId="0" borderId="0" xfId="3" applyFont="1" applyAlignment="1">
      <alignment horizontal="left" indent="1"/>
    </xf>
    <xf numFmtId="3" fontId="55" fillId="0" borderId="0" xfId="3" applyNumberFormat="1" applyFont="1"/>
    <xf numFmtId="0" fontId="54" fillId="0" borderId="0" xfId="3" applyFont="1"/>
    <xf numFmtId="0" fontId="22" fillId="0" borderId="0" xfId="0" applyFont="1" applyBorder="1" applyAlignment="1">
      <alignment vertical="center" wrapText="1"/>
    </xf>
    <xf numFmtId="0" fontId="23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vertical="justify"/>
    </xf>
    <xf numFmtId="3" fontId="20" fillId="0" borderId="0" xfId="0" applyNumberFormat="1" applyFont="1" applyBorder="1" applyAlignment="1">
      <alignment horizontal="right" vertical="center" indent="1"/>
    </xf>
    <xf numFmtId="49" fontId="24" fillId="0" borderId="25" xfId="0" applyNumberFormat="1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 vertical="center" indent="1"/>
    </xf>
    <xf numFmtId="0" fontId="26" fillId="0" borderId="0" xfId="0" applyFont="1"/>
    <xf numFmtId="0" fontId="24" fillId="0" borderId="0" xfId="0" applyFont="1"/>
    <xf numFmtId="0" fontId="25" fillId="0" borderId="0" xfId="0" applyFont="1"/>
    <xf numFmtId="0" fontId="21" fillId="6" borderId="0" xfId="0" applyFont="1" applyFill="1" applyAlignment="1">
      <alignment horizontal="right"/>
    </xf>
    <xf numFmtId="0" fontId="21" fillId="0" borderId="0" xfId="0" applyFont="1" applyFill="1"/>
    <xf numFmtId="3" fontId="20" fillId="0" borderId="0" xfId="0" applyNumberFormat="1" applyFont="1" applyFill="1" applyBorder="1" applyAlignment="1">
      <alignment horizontal="right" vertical="center" indent="1"/>
    </xf>
    <xf numFmtId="0" fontId="23" fillId="0" borderId="0" xfId="0" applyFont="1" applyFill="1"/>
    <xf numFmtId="3" fontId="34" fillId="0" borderId="0" xfId="0" applyNumberFormat="1" applyFont="1" applyFill="1" applyBorder="1" applyAlignment="1">
      <alignment horizontal="right" vertical="center" indent="1"/>
    </xf>
    <xf numFmtId="0" fontId="24" fillId="0" borderId="0" xfId="0" applyFont="1" applyFill="1"/>
    <xf numFmtId="0" fontId="26" fillId="0" borderId="0" xfId="0" applyFont="1" applyFill="1"/>
    <xf numFmtId="49" fontId="24" fillId="0" borderId="1" xfId="0" applyNumberFormat="1" applyFont="1" applyFill="1" applyBorder="1" applyAlignment="1">
      <alignment horizontal="center" vertical="center" wrapText="1"/>
    </xf>
    <xf numFmtId="41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28" fillId="0" borderId="25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9" fontId="19" fillId="0" borderId="25" xfId="0" applyNumberFormat="1" applyFont="1" applyBorder="1" applyAlignment="1">
      <alignment horizontal="center" vertical="center"/>
    </xf>
    <xf numFmtId="49" fontId="27" fillId="0" borderId="25" xfId="0" applyNumberFormat="1" applyFont="1" applyBorder="1" applyAlignment="1">
      <alignment horizontal="center" vertical="center"/>
    </xf>
    <xf numFmtId="0" fontId="31" fillId="0" borderId="5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/>
    <xf numFmtId="41" fontId="27" fillId="0" borderId="0" xfId="0" applyNumberFormat="1" applyFont="1" applyAlignment="1">
      <alignment vertical="center"/>
    </xf>
    <xf numFmtId="41" fontId="27" fillId="0" borderId="0" xfId="0" applyNumberFormat="1" applyFont="1"/>
    <xf numFmtId="0" fontId="60" fillId="0" borderId="0" xfId="0" applyFont="1"/>
    <xf numFmtId="41" fontId="27" fillId="0" borderId="0" xfId="0" applyNumberFormat="1" applyFont="1" applyAlignment="1">
      <alignment horizontal="center"/>
    </xf>
    <xf numFmtId="0" fontId="27" fillId="0" borderId="0" xfId="0" applyFont="1" applyFill="1" applyBorder="1" applyAlignment="1">
      <alignment vertical="center"/>
    </xf>
    <xf numFmtId="41" fontId="55" fillId="0" borderId="0" xfId="3" applyNumberFormat="1" applyFont="1"/>
    <xf numFmtId="41" fontId="54" fillId="3" borderId="2" xfId="3" applyNumberFormat="1" applyFont="1" applyFill="1" applyBorder="1" applyAlignment="1">
      <alignment horizontal="right" vertical="center"/>
    </xf>
    <xf numFmtId="0" fontId="56" fillId="0" borderId="25" xfId="0" applyFont="1" applyBorder="1" applyAlignment="1">
      <alignment horizontal="left" vertical="center" wrapText="1"/>
    </xf>
    <xf numFmtId="0" fontId="55" fillId="0" borderId="23" xfId="3" applyFont="1" applyFill="1" applyBorder="1" applyAlignment="1">
      <alignment vertical="center"/>
    </xf>
    <xf numFmtId="0" fontId="57" fillId="0" borderId="25" xfId="3" applyFont="1" applyBorder="1" applyAlignment="1">
      <alignment horizontal="left" vertical="center" indent="1"/>
    </xf>
    <xf numFmtId="3" fontId="57" fillId="0" borderId="25" xfId="3" applyNumberFormat="1" applyFont="1" applyBorder="1" applyAlignment="1">
      <alignment horizontal="left" vertical="center" wrapText="1" indent="1"/>
    </xf>
    <xf numFmtId="49" fontId="24" fillId="0" borderId="1" xfId="0" applyNumberFormat="1" applyFont="1" applyFill="1" applyBorder="1" applyAlignment="1">
      <alignment horizontal="left" vertical="center" wrapText="1"/>
    </xf>
    <xf numFmtId="0" fontId="21" fillId="6" borderId="0" xfId="0" applyFont="1" applyFill="1" applyAlignment="1">
      <alignment horizontal="right" vertical="center"/>
    </xf>
    <xf numFmtId="49" fontId="21" fillId="0" borderId="0" xfId="0" applyNumberFormat="1" applyFont="1" applyAlignment="1">
      <alignment horizontal="center" vertical="center"/>
    </xf>
    <xf numFmtId="0" fontId="25" fillId="0" borderId="0" xfId="0" applyFont="1" applyFill="1"/>
    <xf numFmtId="0" fontId="22" fillId="0" borderId="0" xfId="0" applyFont="1"/>
    <xf numFmtId="41" fontId="54" fillId="3" borderId="56" xfId="3" applyNumberFormat="1" applyFont="1" applyFill="1" applyBorder="1" applyAlignment="1">
      <alignment horizontal="right" vertical="center" indent="1"/>
    </xf>
    <xf numFmtId="49" fontId="24" fillId="0" borderId="1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49" fontId="24" fillId="0" borderId="19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49" fontId="24" fillId="0" borderId="36" xfId="0" applyNumberFormat="1" applyFont="1" applyBorder="1" applyAlignment="1">
      <alignment horizontal="center" vertical="center"/>
    </xf>
    <xf numFmtId="41" fontId="17" fillId="0" borderId="49" xfId="0" applyNumberFormat="1" applyFont="1" applyBorder="1" applyAlignment="1">
      <alignment horizontal="right" vertical="center" indent="1"/>
    </xf>
    <xf numFmtId="49" fontId="16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60" fillId="0" borderId="0" xfId="0" applyFont="1" applyAlignment="1">
      <alignment vertical="center"/>
    </xf>
    <xf numFmtId="49" fontId="17" fillId="0" borderId="36" xfId="0" applyNumberFormat="1" applyFont="1" applyBorder="1" applyAlignment="1">
      <alignment horizontal="center" vertical="center"/>
    </xf>
    <xf numFmtId="41" fontId="17" fillId="0" borderId="51" xfId="0" applyNumberFormat="1" applyFont="1" applyBorder="1" applyAlignment="1">
      <alignment horizontal="center" vertical="center" wrapText="1"/>
    </xf>
    <xf numFmtId="41" fontId="28" fillId="0" borderId="29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31" fillId="0" borderId="5" xfId="0" applyFont="1" applyBorder="1" applyAlignment="1">
      <alignment vertical="center" wrapText="1"/>
    </xf>
    <xf numFmtId="49" fontId="31" fillId="0" borderId="5" xfId="0" applyNumberFormat="1" applyFont="1" applyBorder="1" applyAlignment="1">
      <alignment vertical="center" wrapText="1"/>
    </xf>
    <xf numFmtId="41" fontId="16" fillId="0" borderId="49" xfId="0" applyNumberFormat="1" applyFont="1" applyBorder="1" applyAlignment="1">
      <alignment horizontal="right" vertical="center" indent="1"/>
    </xf>
    <xf numFmtId="41" fontId="27" fillId="0" borderId="5" xfId="0" applyNumberFormat="1" applyFont="1" applyBorder="1" applyAlignment="1">
      <alignment horizontal="right" vertical="center" indent="1"/>
    </xf>
    <xf numFmtId="49" fontId="22" fillId="9" borderId="19" xfId="0" applyNumberFormat="1" applyFont="1" applyFill="1" applyBorder="1" applyAlignment="1">
      <alignment horizontal="center" vertical="center" wrapText="1"/>
    </xf>
    <xf numFmtId="49" fontId="24" fillId="9" borderId="19" xfId="0" applyNumberFormat="1" applyFont="1" applyFill="1" applyBorder="1" applyAlignment="1">
      <alignment horizontal="center" vertical="center" wrapText="1"/>
    </xf>
    <xf numFmtId="49" fontId="24" fillId="9" borderId="34" xfId="0" applyNumberFormat="1" applyFont="1" applyFill="1" applyBorder="1" applyAlignment="1">
      <alignment horizontal="center" vertical="center" wrapText="1"/>
    </xf>
    <xf numFmtId="49" fontId="28" fillId="9" borderId="19" xfId="0" applyNumberFormat="1" applyFont="1" applyFill="1" applyBorder="1" applyAlignment="1">
      <alignment horizontal="center" vertical="center"/>
    </xf>
    <xf numFmtId="0" fontId="31" fillId="9" borderId="12" xfId="0" applyFont="1" applyFill="1" applyBorder="1" applyAlignment="1">
      <alignment horizontal="left" vertical="center" wrapText="1"/>
    </xf>
    <xf numFmtId="41" fontId="17" fillId="9" borderId="12" xfId="0" applyNumberFormat="1" applyFont="1" applyFill="1" applyBorder="1" applyAlignment="1">
      <alignment horizontal="right" vertical="center" indent="1"/>
    </xf>
    <xf numFmtId="0" fontId="31" fillId="9" borderId="12" xfId="0" applyFont="1" applyFill="1" applyBorder="1" applyAlignment="1">
      <alignment vertical="center" wrapText="1"/>
    </xf>
    <xf numFmtId="41" fontId="17" fillId="9" borderId="52" xfId="0" applyNumberFormat="1" applyFont="1" applyFill="1" applyBorder="1" applyAlignment="1">
      <alignment horizontal="right" vertical="center" indent="1"/>
    </xf>
    <xf numFmtId="49" fontId="17" fillId="9" borderId="19" xfId="0" applyNumberFormat="1" applyFont="1" applyFill="1" applyBorder="1" applyAlignment="1">
      <alignment horizontal="center" vertical="center"/>
    </xf>
    <xf numFmtId="49" fontId="28" fillId="9" borderId="11" xfId="0" applyNumberFormat="1" applyFont="1" applyFill="1" applyBorder="1" applyAlignment="1">
      <alignment horizontal="left" vertical="center"/>
    </xf>
    <xf numFmtId="0" fontId="60" fillId="0" borderId="0" xfId="0" applyFont="1" applyAlignment="1">
      <alignment horizontal="center" vertical="center"/>
    </xf>
    <xf numFmtId="49" fontId="67" fillId="0" borderId="25" xfId="0" applyNumberFormat="1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68" fillId="0" borderId="25" xfId="0" applyFont="1" applyBorder="1" applyAlignment="1">
      <alignment horizontal="center" vertical="center"/>
    </xf>
    <xf numFmtId="49" fontId="68" fillId="0" borderId="25" xfId="0" applyNumberFormat="1" applyFont="1" applyBorder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0" fillId="0" borderId="0" xfId="0" applyFont="1"/>
    <xf numFmtId="0" fontId="69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1" fillId="0" borderId="0" xfId="0" applyFont="1" applyFill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31" fillId="0" borderId="1" xfId="0" applyFont="1" applyBorder="1" applyAlignment="1">
      <alignment horizontal="center" vertical="center"/>
    </xf>
    <xf numFmtId="49" fontId="67" fillId="0" borderId="1" xfId="0" applyNumberFormat="1" applyFont="1" applyBorder="1" applyAlignment="1">
      <alignment horizontal="center" vertical="center"/>
    </xf>
    <xf numFmtId="164" fontId="31" fillId="25" borderId="49" xfId="1" applyNumberFormat="1" applyFont="1" applyFill="1" applyBorder="1" applyAlignment="1">
      <alignment horizontal="right" vertical="center"/>
    </xf>
    <xf numFmtId="41" fontId="31" fillId="0" borderId="12" xfId="0" applyNumberFormat="1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31" fillId="0" borderId="32" xfId="0" applyFont="1" applyBorder="1" applyAlignment="1">
      <alignment vertical="center"/>
    </xf>
    <xf numFmtId="0" fontId="68" fillId="8" borderId="25" xfId="5" applyFont="1" applyFill="1" applyBorder="1" applyAlignment="1">
      <alignment horizontal="center" vertical="center"/>
    </xf>
    <xf numFmtId="0" fontId="31" fillId="0" borderId="19" xfId="5" applyFont="1" applyBorder="1" applyAlignment="1">
      <alignment horizontal="center" vertical="center"/>
    </xf>
    <xf numFmtId="0" fontId="68" fillId="8" borderId="1" xfId="5" applyFont="1" applyFill="1" applyBorder="1" applyAlignment="1">
      <alignment horizontal="center" vertical="center"/>
    </xf>
    <xf numFmtId="0" fontId="67" fillId="8" borderId="49" xfId="5" applyFont="1" applyFill="1" applyBorder="1" applyAlignment="1">
      <alignment vertical="center" wrapText="1"/>
    </xf>
    <xf numFmtId="0" fontId="67" fillId="5" borderId="49" xfId="5" applyFont="1" applyFill="1" applyBorder="1" applyAlignment="1">
      <alignment vertical="center" wrapText="1"/>
    </xf>
    <xf numFmtId="0" fontId="68" fillId="8" borderId="1" xfId="0" applyFont="1" applyFill="1" applyBorder="1" applyAlignment="1">
      <alignment horizontal="center" vertical="center"/>
    </xf>
    <xf numFmtId="0" fontId="68" fillId="0" borderId="1" xfId="5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1" fillId="9" borderId="19" xfId="0" applyNumberFormat="1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vertical="center"/>
    </xf>
    <xf numFmtId="3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3" fontId="10" fillId="0" borderId="2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" fontId="10" fillId="0" borderId="0" xfId="0" applyNumberFormat="1" applyFont="1" applyBorder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49" fontId="11" fillId="9" borderId="34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vertical="center"/>
    </xf>
    <xf numFmtId="3" fontId="14" fillId="0" borderId="2" xfId="0" applyNumberFormat="1" applyFont="1" applyBorder="1" applyAlignment="1">
      <alignment vertical="center"/>
    </xf>
    <xf numFmtId="166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3" fontId="83" fillId="0" borderId="0" xfId="0" applyNumberFormat="1" applyFont="1" applyBorder="1" applyAlignment="1">
      <alignment vertical="center"/>
    </xf>
    <xf numFmtId="3" fontId="83" fillId="0" borderId="2" xfId="0" applyNumberFormat="1" applyFont="1" applyBorder="1" applyAlignment="1">
      <alignment vertical="center"/>
    </xf>
    <xf numFmtId="166" fontId="83" fillId="0" borderId="0" xfId="0" applyNumberFormat="1" applyFont="1" applyAlignment="1">
      <alignment vertical="center"/>
    </xf>
    <xf numFmtId="0" fontId="83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83" fillId="0" borderId="0" xfId="0" applyNumberFormat="1" applyFont="1" applyAlignment="1">
      <alignment vertical="center"/>
    </xf>
    <xf numFmtId="3" fontId="83" fillId="0" borderId="2" xfId="0" applyNumberFormat="1" applyFont="1" applyFill="1" applyBorder="1" applyAlignment="1">
      <alignment vertical="center"/>
    </xf>
    <xf numFmtId="3" fontId="83" fillId="0" borderId="0" xfId="0" applyNumberFormat="1" applyFont="1" applyFill="1" applyAlignment="1">
      <alignment vertical="center"/>
    </xf>
    <xf numFmtId="0" fontId="83" fillId="0" borderId="0" xfId="0" applyFont="1" applyFill="1" applyAlignment="1">
      <alignment vertical="center"/>
    </xf>
    <xf numFmtId="3" fontId="83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83" fillId="9" borderId="12" xfId="0" applyFont="1" applyFill="1" applyBorder="1" applyAlignment="1">
      <alignment horizontal="left" vertical="center" wrapText="1"/>
    </xf>
    <xf numFmtId="0" fontId="60" fillId="0" borderId="0" xfId="5" applyFont="1" applyBorder="1" applyAlignment="1">
      <alignment vertical="center"/>
    </xf>
    <xf numFmtId="0" fontId="31" fillId="0" borderId="0" xfId="5" applyFont="1" applyBorder="1" applyAlignment="1">
      <alignment horizontal="center" vertical="center"/>
    </xf>
    <xf numFmtId="0" fontId="60" fillId="0" borderId="0" xfId="5" applyFont="1" applyFill="1" applyBorder="1" applyAlignment="1">
      <alignment vertical="center"/>
    </xf>
    <xf numFmtId="0" fontId="68" fillId="0" borderId="0" xfId="5" applyFont="1" applyAlignment="1">
      <alignment vertical="center"/>
    </xf>
    <xf numFmtId="0" fontId="67" fillId="0" borderId="0" xfId="5" applyFont="1" applyFill="1" applyAlignment="1">
      <alignment vertical="center"/>
    </xf>
    <xf numFmtId="0" fontId="68" fillId="0" borderId="0" xfId="5" applyFont="1" applyFill="1" applyAlignment="1">
      <alignment vertical="center"/>
    </xf>
    <xf numFmtId="0" fontId="31" fillId="0" borderId="0" xfId="0" applyFont="1" applyAlignment="1">
      <alignment vertical="center" wrapText="1"/>
    </xf>
    <xf numFmtId="3" fontId="31" fillId="0" borderId="0" xfId="1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164" fontId="31" fillId="0" borderId="0" xfId="1" applyNumberFormat="1" applyFont="1" applyAlignment="1">
      <alignment horizontal="center" vertical="center"/>
    </xf>
    <xf numFmtId="3" fontId="60" fillId="0" borderId="0" xfId="1" applyNumberFormat="1" applyFont="1" applyAlignment="1">
      <alignment horizontal="center" vertical="center"/>
    </xf>
    <xf numFmtId="3" fontId="60" fillId="0" borderId="0" xfId="0" applyNumberFormat="1" applyFont="1" applyAlignment="1">
      <alignment vertical="center"/>
    </xf>
    <xf numFmtId="0" fontId="60" fillId="0" borderId="0" xfId="0" applyFont="1" applyAlignment="1">
      <alignment vertical="center" wrapText="1"/>
    </xf>
    <xf numFmtId="0" fontId="31" fillId="0" borderId="0" xfId="0" applyNumberFormat="1" applyFont="1" applyAlignment="1">
      <alignment vertical="center" wrapText="1"/>
    </xf>
    <xf numFmtId="0" fontId="74" fillId="0" borderId="0" xfId="0" applyFont="1" applyAlignment="1">
      <alignment vertical="center"/>
    </xf>
    <xf numFmtId="0" fontId="60" fillId="0" borderId="50" xfId="0" applyFont="1" applyBorder="1" applyAlignment="1">
      <alignment vertical="center"/>
    </xf>
    <xf numFmtId="41" fontId="31" fillId="0" borderId="29" xfId="0" applyNumberFormat="1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1" fillId="0" borderId="0" xfId="0" applyFont="1"/>
    <xf numFmtId="0" fontId="61" fillId="0" borderId="0" xfId="0" applyFont="1"/>
    <xf numFmtId="0" fontId="31" fillId="0" borderId="0" xfId="0" applyFont="1" applyBorder="1" applyAlignment="1">
      <alignment vertical="justify"/>
    </xf>
    <xf numFmtId="3" fontId="60" fillId="0" borderId="0" xfId="0" applyNumberFormat="1" applyFont="1" applyBorder="1" applyAlignment="1">
      <alignment horizontal="center" vertical="justify"/>
    </xf>
    <xf numFmtId="0" fontId="60" fillId="0" borderId="0" xfId="0" applyFont="1" applyBorder="1" applyAlignment="1">
      <alignment vertical="justify"/>
    </xf>
    <xf numFmtId="3" fontId="31" fillId="0" borderId="0" xfId="0" applyNumberFormat="1" applyFont="1" applyBorder="1" applyAlignment="1">
      <alignment horizontal="center" vertical="justify"/>
    </xf>
    <xf numFmtId="0" fontId="60" fillId="0" borderId="0" xfId="0" applyFont="1" applyAlignment="1">
      <alignment vertical="justify"/>
    </xf>
    <xf numFmtId="0" fontId="60" fillId="0" borderId="0" xfId="0" applyFont="1" applyFill="1" applyBorder="1" applyAlignment="1">
      <alignment vertical="justify"/>
    </xf>
    <xf numFmtId="3" fontId="60" fillId="0" borderId="0" xfId="0" applyNumberFormat="1" applyFont="1" applyAlignment="1">
      <alignment horizontal="center"/>
    </xf>
    <xf numFmtId="0" fontId="31" fillId="0" borderId="36" xfId="0" applyFont="1" applyBorder="1" applyAlignment="1">
      <alignment horizontal="center" vertical="center"/>
    </xf>
    <xf numFmtId="41" fontId="31" fillId="9" borderId="12" xfId="0" applyNumberFormat="1" applyFont="1" applyFill="1" applyBorder="1" applyAlignment="1">
      <alignment horizontal="right" vertical="center" indent="1"/>
    </xf>
    <xf numFmtId="41" fontId="31" fillId="9" borderId="17" xfId="0" applyNumberFormat="1" applyFont="1" applyFill="1" applyBorder="1" applyAlignment="1">
      <alignment horizontal="right" vertical="center" indent="1"/>
    </xf>
    <xf numFmtId="41" fontId="75" fillId="9" borderId="12" xfId="49" applyNumberFormat="1" applyFont="1" applyFill="1" applyBorder="1" applyAlignment="1">
      <alignment horizontal="right" vertical="center" indent="1"/>
    </xf>
    <xf numFmtId="0" fontId="31" fillId="9" borderId="11" xfId="0" applyFont="1" applyFill="1" applyBorder="1" applyAlignment="1">
      <alignment vertical="center"/>
    </xf>
    <xf numFmtId="0" fontId="31" fillId="25" borderId="0" xfId="0" applyFont="1" applyFill="1"/>
    <xf numFmtId="41" fontId="60" fillId="0" borderId="0" xfId="0" applyNumberFormat="1" applyFont="1" applyAlignment="1">
      <alignment vertical="center"/>
    </xf>
    <xf numFmtId="41" fontId="31" fillId="25" borderId="0" xfId="0" applyNumberFormat="1" applyFont="1" applyFill="1"/>
    <xf numFmtId="164" fontId="31" fillId="25" borderId="0" xfId="1" applyNumberFormat="1" applyFont="1" applyFill="1"/>
    <xf numFmtId="0" fontId="31" fillId="0" borderId="3" xfId="0" applyFont="1" applyBorder="1" applyAlignment="1">
      <alignment horizontal="center" vertical="center"/>
    </xf>
    <xf numFmtId="3" fontId="68" fillId="6" borderId="0" xfId="0" applyNumberFormat="1" applyFont="1" applyFill="1"/>
    <xf numFmtId="3" fontId="7" fillId="6" borderId="0" xfId="0" applyNumberFormat="1" applyFont="1" applyFill="1" applyAlignment="1" applyProtection="1">
      <alignment vertical="center"/>
    </xf>
    <xf numFmtId="3" fontId="68" fillId="6" borderId="0" xfId="0" applyNumberFormat="1" applyFont="1" applyFill="1" applyAlignment="1">
      <alignment vertical="center"/>
    </xf>
    <xf numFmtId="3" fontId="68" fillId="6" borderId="0" xfId="0" applyNumberFormat="1" applyFont="1" applyFill="1" applyAlignment="1">
      <alignment horizontal="center"/>
    </xf>
    <xf numFmtId="3" fontId="68" fillId="6" borderId="0" xfId="0" applyNumberFormat="1" applyFont="1" applyFill="1" applyAlignment="1"/>
    <xf numFmtId="3" fontId="13" fillId="6" borderId="0" xfId="0" applyNumberFormat="1" applyFont="1" applyFill="1" applyAlignment="1">
      <alignment vertical="center"/>
    </xf>
    <xf numFmtId="0" fontId="60" fillId="0" borderId="0" xfId="5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3" fontId="68" fillId="0" borderId="25" xfId="5" applyNumberFormat="1" applyFont="1" applyBorder="1" applyAlignment="1">
      <alignment horizontal="center" vertical="center"/>
    </xf>
    <xf numFmtId="0" fontId="60" fillId="0" borderId="0" xfId="5" applyFont="1" applyAlignment="1">
      <alignment vertical="center"/>
    </xf>
    <xf numFmtId="41" fontId="67" fillId="3" borderId="12" xfId="1" applyNumberFormat="1" applyFont="1" applyFill="1" applyBorder="1" applyAlignment="1">
      <alignment horizontal="right" vertical="center" indent="1"/>
    </xf>
    <xf numFmtId="0" fontId="60" fillId="0" borderId="0" xfId="5" applyFont="1" applyFill="1" applyAlignment="1">
      <alignment vertical="center"/>
    </xf>
    <xf numFmtId="164" fontId="60" fillId="0" borderId="0" xfId="0" applyNumberFormat="1" applyFont="1" applyAlignment="1">
      <alignment vertical="center"/>
    </xf>
    <xf numFmtId="3" fontId="60" fillId="0" borderId="0" xfId="0" applyNumberFormat="1" applyFont="1" applyAlignment="1">
      <alignment vertical="center" wrapText="1"/>
    </xf>
    <xf numFmtId="165" fontId="60" fillId="0" borderId="0" xfId="7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41" fontId="67" fillId="3" borderId="17" xfId="1" applyNumberFormat="1" applyFont="1" applyFill="1" applyBorder="1" applyAlignment="1">
      <alignment horizontal="right" vertical="center" indent="1"/>
    </xf>
    <xf numFmtId="3" fontId="60" fillId="0" borderId="0" xfId="0" applyNumberFormat="1" applyFont="1" applyBorder="1" applyAlignment="1">
      <alignment vertical="center"/>
    </xf>
    <xf numFmtId="3" fontId="60" fillId="0" borderId="0" xfId="0" applyNumberFormat="1" applyFont="1" applyBorder="1" applyAlignment="1">
      <alignment horizontal="center" vertical="center"/>
    </xf>
    <xf numFmtId="3" fontId="31" fillId="0" borderId="5" xfId="0" applyNumberFormat="1" applyFont="1" applyBorder="1" applyAlignment="1">
      <alignment horizontal="center" vertical="center"/>
    </xf>
    <xf numFmtId="0" fontId="60" fillId="0" borderId="25" xfId="0" applyFont="1" applyBorder="1" applyAlignment="1">
      <alignment horizontal="left" vertical="center"/>
    </xf>
    <xf numFmtId="0" fontId="60" fillId="0" borderId="25" xfId="0" applyFont="1" applyBorder="1" applyAlignment="1">
      <alignment horizontal="left" vertical="center" wrapText="1"/>
    </xf>
    <xf numFmtId="3" fontId="60" fillId="0" borderId="0" xfId="0" applyNumberFormat="1" applyFont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60" fillId="0" borderId="1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 wrapText="1"/>
    </xf>
    <xf numFmtId="0" fontId="31" fillId="0" borderId="29" xfId="50" applyFont="1" applyFill="1" applyBorder="1" applyAlignment="1" applyProtection="1">
      <alignment horizontal="center" vertical="center"/>
    </xf>
    <xf numFmtId="0" fontId="31" fillId="0" borderId="18" xfId="50" applyFont="1" applyFill="1" applyBorder="1" applyAlignment="1" applyProtection="1">
      <alignment horizontal="center" vertical="center"/>
    </xf>
    <xf numFmtId="0" fontId="60" fillId="0" borderId="0" xfId="50" applyFont="1" applyFill="1" applyAlignment="1" applyProtection="1">
      <alignment vertical="center"/>
    </xf>
    <xf numFmtId="167" fontId="60" fillId="0" borderId="32" xfId="50" applyNumberFormat="1" applyFont="1" applyFill="1" applyBorder="1" applyAlignment="1" applyProtection="1">
      <alignment vertical="center"/>
      <protection locked="0"/>
    </xf>
    <xf numFmtId="167" fontId="60" fillId="0" borderId="8" xfId="50" quotePrefix="1" applyNumberFormat="1" applyFont="1" applyFill="1" applyBorder="1" applyAlignment="1" applyProtection="1">
      <alignment horizontal="center" vertical="center"/>
    </xf>
    <xf numFmtId="167" fontId="60" fillId="0" borderId="2" xfId="50" applyNumberFormat="1" applyFont="1" applyFill="1" applyBorder="1" applyAlignment="1" applyProtection="1">
      <alignment vertical="center"/>
    </xf>
    <xf numFmtId="0" fontId="60" fillId="0" borderId="0" xfId="50" applyFont="1" applyFill="1" applyAlignment="1" applyProtection="1">
      <alignment vertical="center"/>
      <protection locked="0"/>
    </xf>
    <xf numFmtId="167" fontId="60" fillId="0" borderId="5" xfId="50" applyNumberFormat="1" applyFont="1" applyFill="1" applyBorder="1" applyAlignment="1" applyProtection="1">
      <alignment vertical="center"/>
      <protection locked="0"/>
    </xf>
    <xf numFmtId="167" fontId="60" fillId="0" borderId="6" xfId="50" applyNumberFormat="1" applyFont="1" applyFill="1" applyBorder="1" applyAlignment="1" applyProtection="1">
      <alignment vertical="center"/>
    </xf>
    <xf numFmtId="0" fontId="60" fillId="0" borderId="19" xfId="50" applyFont="1" applyFill="1" applyBorder="1" applyAlignment="1" applyProtection="1">
      <alignment horizontal="left" vertical="center"/>
    </xf>
    <xf numFmtId="0" fontId="60" fillId="0" borderId="32" xfId="50" applyFont="1" applyFill="1" applyBorder="1" applyAlignment="1" applyProtection="1">
      <alignment horizontal="left" vertical="center" wrapText="1"/>
    </xf>
    <xf numFmtId="0" fontId="60" fillId="0" borderId="5" xfId="50" applyFont="1" applyFill="1" applyBorder="1" applyAlignment="1" applyProtection="1">
      <alignment horizontal="left" vertical="center"/>
    </xf>
    <xf numFmtId="0" fontId="31" fillId="0" borderId="0" xfId="50" applyFont="1" applyFill="1" applyAlignment="1" applyProtection="1">
      <alignment vertical="center"/>
      <protection locked="0"/>
    </xf>
    <xf numFmtId="0" fontId="31" fillId="9" borderId="12" xfId="50" applyFont="1" applyFill="1" applyBorder="1" applyAlignment="1" applyProtection="1">
      <alignment horizontal="left" vertical="center"/>
    </xf>
    <xf numFmtId="167" fontId="31" fillId="9" borderId="12" xfId="50" applyNumberFormat="1" applyFont="1" applyFill="1" applyBorder="1" applyAlignment="1" applyProtection="1">
      <alignment vertical="center"/>
    </xf>
    <xf numFmtId="0" fontId="31" fillId="9" borderId="19" xfId="50" applyFont="1" applyFill="1" applyBorder="1" applyAlignment="1" applyProtection="1">
      <alignment horizontal="left" vertical="center"/>
    </xf>
    <xf numFmtId="41" fontId="61" fillId="25" borderId="7" xfId="0" applyNumberFormat="1" applyFont="1" applyFill="1" applyBorder="1" applyAlignment="1">
      <alignment horizontal="right" vertical="center" indent="1"/>
    </xf>
    <xf numFmtId="41" fontId="61" fillId="25" borderId="32" xfId="0" applyNumberFormat="1" applyFont="1" applyFill="1" applyBorder="1" applyAlignment="1">
      <alignment horizontal="right" vertical="center" indent="1"/>
    </xf>
    <xf numFmtId="41" fontId="61" fillId="25" borderId="9" xfId="0" applyNumberFormat="1" applyFont="1" applyFill="1" applyBorder="1" applyAlignment="1">
      <alignment horizontal="right" vertical="center" indent="1"/>
    </xf>
    <xf numFmtId="49" fontId="69" fillId="3" borderId="19" xfId="5" applyNumberFormat="1" applyFont="1" applyFill="1" applyBorder="1" applyAlignment="1">
      <alignment horizontal="center" vertical="center"/>
    </xf>
    <xf numFmtId="0" fontId="71" fillId="0" borderId="0" xfId="5" applyFont="1" applyFill="1" applyBorder="1" applyAlignment="1">
      <alignment vertical="center"/>
    </xf>
    <xf numFmtId="0" fontId="70" fillId="0" borderId="0" xfId="5" applyFont="1" applyFill="1" applyAlignment="1">
      <alignment vertical="center"/>
    </xf>
    <xf numFmtId="0" fontId="72" fillId="0" borderId="0" xfId="5" applyFont="1" applyFill="1" applyAlignment="1">
      <alignment vertical="center"/>
    </xf>
    <xf numFmtId="0" fontId="70" fillId="3" borderId="0" xfId="5" applyFont="1" applyFill="1" applyAlignment="1">
      <alignment vertical="center"/>
    </xf>
    <xf numFmtId="0" fontId="70" fillId="0" borderId="0" xfId="5" applyFont="1" applyAlignment="1">
      <alignment vertical="center"/>
    </xf>
    <xf numFmtId="0" fontId="88" fillId="0" borderId="0" xfId="5" applyFont="1" applyAlignment="1">
      <alignment vertical="center"/>
    </xf>
    <xf numFmtId="0" fontId="72" fillId="9" borderId="19" xfId="5" applyFont="1" applyFill="1" applyBorder="1" applyAlignment="1">
      <alignment horizontal="center" vertical="center"/>
    </xf>
    <xf numFmtId="0" fontId="72" fillId="0" borderId="0" xfId="5" applyFont="1" applyAlignment="1">
      <alignment vertical="center"/>
    </xf>
    <xf numFmtId="3" fontId="67" fillId="0" borderId="0" xfId="0" applyNumberFormat="1" applyFont="1" applyFill="1" applyAlignment="1">
      <alignment vertical="center"/>
    </xf>
    <xf numFmtId="0" fontId="67" fillId="0" borderId="0" xfId="0" applyFont="1" applyFill="1" applyAlignment="1">
      <alignment vertical="center"/>
    </xf>
    <xf numFmtId="3" fontId="31" fillId="9" borderId="52" xfId="49" applyNumberFormat="1" applyFont="1" applyFill="1" applyBorder="1" applyAlignment="1">
      <alignment horizontal="right" vertical="center" indent="1"/>
    </xf>
    <xf numFmtId="3" fontId="68" fillId="6" borderId="0" xfId="0" applyNumberFormat="1" applyFont="1" applyFill="1" applyBorder="1" applyAlignment="1"/>
    <xf numFmtId="49" fontId="10" fillId="6" borderId="25" xfId="0" applyNumberFormat="1" applyFont="1" applyFill="1" applyBorder="1" applyAlignment="1">
      <alignment horizontal="center"/>
    </xf>
    <xf numFmtId="49" fontId="7" fillId="6" borderId="25" xfId="0" applyNumberFormat="1" applyFont="1" applyFill="1" applyBorder="1" applyAlignment="1" applyProtection="1">
      <alignment horizontal="center" vertical="center"/>
    </xf>
    <xf numFmtId="49" fontId="12" fillId="6" borderId="25" xfId="0" applyNumberFormat="1" applyFont="1" applyFill="1" applyBorder="1" applyAlignment="1" applyProtection="1">
      <alignment horizontal="center" vertical="center"/>
    </xf>
    <xf numFmtId="49" fontId="10" fillId="6" borderId="1" xfId="0" applyNumberFormat="1" applyFont="1" applyFill="1" applyBorder="1" applyAlignment="1">
      <alignment horizontal="center"/>
    </xf>
    <xf numFmtId="0" fontId="9" fillId="6" borderId="5" xfId="0" applyFont="1" applyFill="1" applyBorder="1"/>
    <xf numFmtId="0" fontId="26" fillId="0" borderId="5" xfId="0" applyFont="1" applyBorder="1" applyAlignment="1">
      <alignment horizontal="left" vertical="center" wrapText="1"/>
    </xf>
    <xf numFmtId="3" fontId="85" fillId="0" borderId="2" xfId="0" applyNumberFormat="1" applyFont="1" applyBorder="1" applyAlignment="1">
      <alignment vertical="center"/>
    </xf>
    <xf numFmtId="3" fontId="85" fillId="0" borderId="0" xfId="0" applyNumberFormat="1" applyFont="1" applyAlignment="1">
      <alignment vertical="center"/>
    </xf>
    <xf numFmtId="0" fontId="85" fillId="0" borderId="0" xfId="0" applyFont="1" applyAlignment="1">
      <alignment vertical="center"/>
    </xf>
    <xf numFmtId="3" fontId="85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3" fontId="13" fillId="0" borderId="0" xfId="0" applyNumberFormat="1" applyFont="1" applyBorder="1" applyAlignment="1">
      <alignment vertical="center"/>
    </xf>
    <xf numFmtId="0" fontId="89" fillId="0" borderId="12" xfId="0" applyFont="1" applyBorder="1" applyAlignment="1">
      <alignment horizontal="left" vertical="center" wrapText="1"/>
    </xf>
    <xf numFmtId="3" fontId="21" fillId="0" borderId="0" xfId="0" applyNumberFormat="1" applyFont="1" applyFill="1"/>
    <xf numFmtId="3" fontId="21" fillId="0" borderId="0" xfId="0" applyNumberFormat="1" applyFont="1"/>
    <xf numFmtId="3" fontId="7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49" fontId="24" fillId="0" borderId="31" xfId="0" applyNumberFormat="1" applyFont="1" applyFill="1" applyBorder="1" applyAlignment="1">
      <alignment horizontal="left" vertical="center" wrapText="1"/>
    </xf>
    <xf numFmtId="49" fontId="24" fillId="0" borderId="31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19" fillId="0" borderId="6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8" fillId="0" borderId="3" xfId="5" applyFont="1" applyBorder="1" applyAlignment="1">
      <alignment horizontal="center" vertical="center"/>
    </xf>
    <xf numFmtId="0" fontId="68" fillId="0" borderId="3" xfId="0" applyFont="1" applyBorder="1" applyAlignment="1">
      <alignment horizontal="center" vertical="center"/>
    </xf>
    <xf numFmtId="0" fontId="68" fillId="0" borderId="3" xfId="5" applyFont="1" applyFill="1" applyBorder="1" applyAlignment="1">
      <alignment horizontal="center" vertical="center"/>
    </xf>
    <xf numFmtId="3" fontId="31" fillId="9" borderId="54" xfId="49" applyNumberFormat="1" applyFont="1" applyFill="1" applyBorder="1" applyAlignment="1">
      <alignment horizontal="right" vertical="center" indent="1"/>
    </xf>
    <xf numFmtId="0" fontId="24" fillId="0" borderId="48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0" fontId="24" fillId="0" borderId="28" xfId="0" applyFont="1" applyBorder="1" applyAlignment="1">
      <alignment vertical="center" wrapText="1"/>
    </xf>
    <xf numFmtId="41" fontId="21" fillId="6" borderId="2" xfId="0" applyNumberFormat="1" applyFont="1" applyFill="1" applyBorder="1" applyAlignment="1">
      <alignment horizontal="right" vertical="center" indent="1"/>
    </xf>
    <xf numFmtId="41" fontId="21" fillId="6" borderId="49" xfId="0" applyNumberFormat="1" applyFont="1" applyFill="1" applyBorder="1" applyAlignment="1">
      <alignment horizontal="right" vertical="center" indent="1"/>
    </xf>
    <xf numFmtId="41" fontId="21" fillId="6" borderId="6" xfId="0" applyNumberFormat="1" applyFont="1" applyFill="1" applyBorder="1" applyAlignment="1">
      <alignment horizontal="right" vertical="center" indent="1"/>
    </xf>
    <xf numFmtId="41" fontId="20" fillId="6" borderId="52" xfId="0" applyNumberFormat="1" applyFont="1" applyFill="1" applyBorder="1" applyAlignment="1">
      <alignment horizontal="right" vertical="center" indent="1"/>
    </xf>
    <xf numFmtId="41" fontId="20" fillId="6" borderId="17" xfId="0" applyNumberFormat="1" applyFont="1" applyFill="1" applyBorder="1" applyAlignment="1">
      <alignment horizontal="right" vertical="center" indent="1"/>
    </xf>
    <xf numFmtId="41" fontId="25" fillId="6" borderId="2" xfId="0" applyNumberFormat="1" applyFont="1" applyFill="1" applyBorder="1" applyAlignment="1">
      <alignment horizontal="right" vertical="center" indent="1"/>
    </xf>
    <xf numFmtId="41" fontId="34" fillId="6" borderId="52" xfId="0" applyNumberFormat="1" applyFont="1" applyFill="1" applyBorder="1" applyAlignment="1">
      <alignment horizontal="right" vertical="center" indent="1"/>
    </xf>
    <xf numFmtId="41" fontId="34" fillId="6" borderId="17" xfId="0" applyNumberFormat="1" applyFont="1" applyFill="1" applyBorder="1" applyAlignment="1">
      <alignment horizontal="right" vertical="center" indent="1"/>
    </xf>
    <xf numFmtId="41" fontId="25" fillId="6" borderId="49" xfId="0" applyNumberFormat="1" applyFont="1" applyFill="1" applyBorder="1" applyAlignment="1">
      <alignment horizontal="right" vertical="center" indent="1"/>
    </xf>
    <xf numFmtId="41" fontId="25" fillId="6" borderId="6" xfId="0" applyNumberFormat="1" applyFont="1" applyFill="1" applyBorder="1" applyAlignment="1">
      <alignment horizontal="right" vertical="center" indent="1"/>
    </xf>
    <xf numFmtId="41" fontId="9" fillId="0" borderId="49" xfId="0" applyNumberFormat="1" applyFont="1" applyBorder="1" applyAlignment="1">
      <alignment horizontal="right" vertical="center" indent="1"/>
    </xf>
    <xf numFmtId="41" fontId="9" fillId="0" borderId="6" xfId="0" applyNumberFormat="1" applyFont="1" applyBorder="1" applyAlignment="1">
      <alignment horizontal="right" vertical="center" indent="1"/>
    </xf>
    <xf numFmtId="41" fontId="9" fillId="0" borderId="2" xfId="0" applyNumberFormat="1" applyFont="1" applyBorder="1" applyAlignment="1">
      <alignment horizontal="right" vertical="center" indent="1"/>
    </xf>
    <xf numFmtId="41" fontId="7" fillId="0" borderId="2" xfId="0" applyNumberFormat="1" applyFont="1" applyBorder="1" applyAlignment="1">
      <alignment horizontal="right" vertical="center" indent="1"/>
    </xf>
    <xf numFmtId="41" fontId="7" fillId="0" borderId="52" xfId="0" applyNumberFormat="1" applyFont="1" applyBorder="1" applyAlignment="1">
      <alignment horizontal="right" vertical="center" indent="1"/>
    </xf>
    <xf numFmtId="41" fontId="7" fillId="0" borderId="17" xfId="0" applyNumberFormat="1" applyFont="1" applyBorder="1" applyAlignment="1">
      <alignment horizontal="right" vertical="center" indent="1"/>
    </xf>
    <xf numFmtId="41" fontId="12" fillId="0" borderId="49" xfId="0" applyNumberFormat="1" applyFont="1" applyBorder="1" applyAlignment="1">
      <alignment horizontal="right" vertical="center" indent="1"/>
    </xf>
    <xf numFmtId="41" fontId="12" fillId="0" borderId="6" xfId="0" applyNumberFormat="1" applyFont="1" applyBorder="1" applyAlignment="1">
      <alignment horizontal="right" vertical="center" indent="1"/>
    </xf>
    <xf numFmtId="41" fontId="12" fillId="0" borderId="2" xfId="0" applyNumberFormat="1" applyFont="1" applyBorder="1" applyAlignment="1">
      <alignment horizontal="right" vertical="center" indent="1"/>
    </xf>
    <xf numFmtId="41" fontId="89" fillId="0" borderId="2" xfId="0" applyNumberFormat="1" applyFont="1" applyBorder="1" applyAlignment="1">
      <alignment horizontal="right" vertical="center" indent="1"/>
    </xf>
    <xf numFmtId="41" fontId="89" fillId="0" borderId="52" xfId="0" applyNumberFormat="1" applyFont="1" applyBorder="1" applyAlignment="1">
      <alignment horizontal="right" vertical="center" indent="1"/>
    </xf>
    <xf numFmtId="41" fontId="89" fillId="0" borderId="17" xfId="0" applyNumberFormat="1" applyFont="1" applyBorder="1" applyAlignment="1">
      <alignment horizontal="right" vertical="center" indent="1"/>
    </xf>
    <xf numFmtId="41" fontId="61" fillId="0" borderId="9" xfId="0" applyNumberFormat="1" applyFont="1" applyBorder="1"/>
    <xf numFmtId="41" fontId="61" fillId="0" borderId="58" xfId="0" applyNumberFormat="1" applyFont="1" applyBorder="1"/>
    <xf numFmtId="41" fontId="61" fillId="0" borderId="59" xfId="0" applyNumberFormat="1" applyFont="1" applyBorder="1"/>
    <xf numFmtId="41" fontId="60" fillId="0" borderId="2" xfId="0" applyNumberFormat="1" applyFont="1" applyBorder="1"/>
    <xf numFmtId="41" fontId="61" fillId="0" borderId="2" xfId="0" applyNumberFormat="1" applyFont="1" applyBorder="1"/>
    <xf numFmtId="41" fontId="60" fillId="0" borderId="2" xfId="5" applyNumberFormat="1" applyFont="1" applyBorder="1" applyAlignment="1">
      <alignment vertical="center"/>
    </xf>
    <xf numFmtId="41" fontId="60" fillId="0" borderId="2" xfId="0" applyNumberFormat="1" applyFont="1" applyBorder="1" applyAlignment="1">
      <alignment horizontal="right" vertical="center"/>
    </xf>
    <xf numFmtId="41" fontId="31" fillId="0" borderId="12" xfId="0" applyNumberFormat="1" applyFont="1" applyBorder="1" applyAlignment="1">
      <alignment horizontal="right" vertical="center"/>
    </xf>
    <xf numFmtId="41" fontId="31" fillId="0" borderId="17" xfId="0" applyNumberFormat="1" applyFont="1" applyBorder="1" applyAlignment="1">
      <alignment horizontal="right" vertical="center"/>
    </xf>
    <xf numFmtId="41" fontId="60" fillId="0" borderId="5" xfId="0" applyNumberFormat="1" applyFont="1" applyBorder="1" applyAlignment="1">
      <alignment horizontal="right" vertical="center"/>
    </xf>
    <xf numFmtId="41" fontId="60" fillId="0" borderId="6" xfId="0" applyNumberFormat="1" applyFont="1" applyBorder="1" applyAlignment="1">
      <alignment horizontal="right" vertical="center"/>
    </xf>
    <xf numFmtId="41" fontId="31" fillId="9" borderId="17" xfId="50" applyNumberFormat="1" applyFont="1" applyFill="1" applyBorder="1" applyAlignment="1" applyProtection="1">
      <alignment vertical="center"/>
    </xf>
    <xf numFmtId="0" fontId="31" fillId="0" borderId="19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41" fontId="68" fillId="0" borderId="0" xfId="5" applyNumberFormat="1" applyFont="1" applyAlignment="1">
      <alignment vertical="center"/>
    </xf>
    <xf numFmtId="41" fontId="68" fillId="0" borderId="0" xfId="5" applyNumberFormat="1" applyFont="1" applyFill="1" applyAlignment="1">
      <alignment vertical="center"/>
    </xf>
    <xf numFmtId="169" fontId="6" fillId="0" borderId="0" xfId="0" applyNumberFormat="1" applyFont="1" applyAlignment="1">
      <alignment horizontal="right"/>
    </xf>
    <xf numFmtId="3" fontId="54" fillId="0" borderId="0" xfId="3" applyNumberFormat="1" applyFont="1" applyBorder="1" applyAlignment="1">
      <alignment horizontal="center" vertical="center"/>
    </xf>
    <xf numFmtId="0" fontId="31" fillId="0" borderId="52" xfId="5" applyFont="1" applyBorder="1" applyAlignment="1">
      <alignment horizontal="center" vertical="center" wrapText="1"/>
    </xf>
    <xf numFmtId="0" fontId="69" fillId="3" borderId="52" xfId="5" applyFont="1" applyFill="1" applyBorder="1" applyAlignment="1">
      <alignment vertical="center" wrapText="1"/>
    </xf>
    <xf numFmtId="0" fontId="68" fillId="0" borderId="63" xfId="5" applyFont="1" applyBorder="1" applyAlignment="1">
      <alignment vertical="center" wrapText="1"/>
    </xf>
    <xf numFmtId="0" fontId="67" fillId="5" borderId="63" xfId="5" applyFont="1" applyFill="1" applyBorder="1" applyAlignment="1">
      <alignment vertical="center" wrapText="1"/>
    </xf>
    <xf numFmtId="0" fontId="68" fillId="0" borderId="64" xfId="5" applyFont="1" applyBorder="1" applyAlignment="1">
      <alignment vertical="center" wrapText="1"/>
    </xf>
    <xf numFmtId="0" fontId="69" fillId="9" borderId="52" xfId="0" applyFont="1" applyFill="1" applyBorder="1" applyAlignment="1">
      <alignment horizontal="left" vertical="center" wrapText="1"/>
    </xf>
    <xf numFmtId="3" fontId="68" fillId="0" borderId="3" xfId="5" applyNumberFormat="1" applyFont="1" applyBorder="1" applyAlignment="1">
      <alignment horizontal="center" vertical="center"/>
    </xf>
    <xf numFmtId="41" fontId="68" fillId="25" borderId="32" xfId="5" applyNumberFormat="1" applyFont="1" applyFill="1" applyBorder="1" applyAlignment="1">
      <alignment horizontal="right" vertical="center" indent="1"/>
    </xf>
    <xf numFmtId="41" fontId="68" fillId="25" borderId="32" xfId="1" applyNumberFormat="1" applyFont="1" applyFill="1" applyBorder="1" applyAlignment="1">
      <alignment horizontal="right" vertical="center" indent="1"/>
    </xf>
    <xf numFmtId="41" fontId="60" fillId="0" borderId="32" xfId="5" applyNumberFormat="1" applyFont="1" applyBorder="1" applyAlignment="1">
      <alignment horizontal="center" vertical="center"/>
    </xf>
    <xf numFmtId="41" fontId="60" fillId="0" borderId="8" xfId="5" applyNumberFormat="1" applyFont="1" applyBorder="1" applyAlignment="1">
      <alignment vertical="center"/>
    </xf>
    <xf numFmtId="41" fontId="21" fillId="6" borderId="63" xfId="0" applyNumberFormat="1" applyFont="1" applyFill="1" applyBorder="1" applyAlignment="1">
      <alignment horizontal="right" vertical="center" indent="1"/>
    </xf>
    <xf numFmtId="49" fontId="24" fillId="0" borderId="66" xfId="0" applyNumberFormat="1" applyFont="1" applyBorder="1" applyAlignment="1">
      <alignment horizontal="center" vertical="center"/>
    </xf>
    <xf numFmtId="0" fontId="23" fillId="0" borderId="65" xfId="0" applyFont="1" applyBorder="1" applyAlignment="1">
      <alignment horizontal="left" vertical="center" wrapText="1"/>
    </xf>
    <xf numFmtId="41" fontId="21" fillId="6" borderId="64" xfId="0" applyNumberFormat="1" applyFont="1" applyFill="1" applyBorder="1" applyAlignment="1">
      <alignment horizontal="right" vertical="center" indent="1"/>
    </xf>
    <xf numFmtId="41" fontId="21" fillId="6" borderId="67" xfId="0" applyNumberFormat="1" applyFont="1" applyFill="1" applyBorder="1" applyAlignment="1">
      <alignment horizontal="right" vertical="center" indent="1"/>
    </xf>
    <xf numFmtId="41" fontId="25" fillId="6" borderId="63" xfId="0" applyNumberFormat="1" applyFont="1" applyFill="1" applyBorder="1" applyAlignment="1">
      <alignment horizontal="right" vertical="center" indent="1"/>
    </xf>
    <xf numFmtId="0" fontId="26" fillId="0" borderId="65" xfId="0" applyFont="1" applyBorder="1" applyAlignment="1">
      <alignment horizontal="left" vertical="center" wrapText="1"/>
    </xf>
    <xf numFmtId="41" fontId="25" fillId="6" borderId="64" xfId="0" applyNumberFormat="1" applyFont="1" applyFill="1" applyBorder="1" applyAlignment="1">
      <alignment horizontal="right" vertical="center" indent="1"/>
    </xf>
    <xf numFmtId="41" fontId="25" fillId="6" borderId="67" xfId="0" applyNumberFormat="1" applyFont="1" applyFill="1" applyBorder="1" applyAlignment="1">
      <alignment horizontal="right" vertical="center" indent="1"/>
    </xf>
    <xf numFmtId="3" fontId="10" fillId="0" borderId="70" xfId="0" applyNumberFormat="1" applyFont="1" applyFill="1" applyBorder="1" applyAlignment="1">
      <alignment vertical="center"/>
    </xf>
    <xf numFmtId="3" fontId="10" fillId="0" borderId="70" xfId="0" applyNumberFormat="1" applyFont="1" applyBorder="1" applyAlignment="1">
      <alignment vertical="center"/>
    </xf>
    <xf numFmtId="41" fontId="7" fillId="0" borderId="63" xfId="0" applyNumberFormat="1" applyFont="1" applyBorder="1" applyAlignment="1">
      <alignment horizontal="right" vertical="center" indent="1"/>
    </xf>
    <xf numFmtId="3" fontId="11" fillId="0" borderId="70" xfId="0" applyNumberFormat="1" applyFont="1" applyBorder="1" applyAlignment="1">
      <alignment vertical="center"/>
    </xf>
    <xf numFmtId="3" fontId="85" fillId="0" borderId="70" xfId="0" applyNumberFormat="1" applyFont="1" applyBorder="1" applyAlignment="1">
      <alignment vertical="center"/>
    </xf>
    <xf numFmtId="3" fontId="13" fillId="0" borderId="70" xfId="0" applyNumberFormat="1" applyFont="1" applyBorder="1" applyAlignment="1">
      <alignment vertical="center"/>
    </xf>
    <xf numFmtId="3" fontId="10" fillId="0" borderId="63" xfId="0" applyNumberFormat="1" applyFont="1" applyFill="1" applyBorder="1" applyAlignment="1">
      <alignment vertical="center"/>
    </xf>
    <xf numFmtId="3" fontId="10" fillId="0" borderId="63" xfId="0" applyNumberFormat="1" applyFont="1" applyBorder="1" applyAlignment="1">
      <alignment vertical="center"/>
    </xf>
    <xf numFmtId="3" fontId="11" fillId="0" borderId="63" xfId="0" applyNumberFormat="1" applyFont="1" applyBorder="1" applyAlignment="1">
      <alignment vertical="center"/>
    </xf>
    <xf numFmtId="3" fontId="14" fillId="0" borderId="70" xfId="0" applyNumberFormat="1" applyFont="1" applyBorder="1" applyAlignment="1">
      <alignment vertical="center"/>
    </xf>
    <xf numFmtId="3" fontId="83" fillId="0" borderId="70" xfId="0" applyNumberFormat="1" applyFont="1" applyBorder="1" applyAlignment="1">
      <alignment vertical="center"/>
    </xf>
    <xf numFmtId="3" fontId="83" fillId="0" borderId="70" xfId="0" applyNumberFormat="1" applyFont="1" applyFill="1" applyBorder="1" applyAlignment="1">
      <alignment vertical="center"/>
    </xf>
    <xf numFmtId="3" fontId="11" fillId="0" borderId="70" xfId="0" applyNumberFormat="1" applyFont="1" applyFill="1" applyBorder="1" applyAlignment="1">
      <alignment vertical="center"/>
    </xf>
    <xf numFmtId="3" fontId="11" fillId="0" borderId="63" xfId="0" applyNumberFormat="1" applyFont="1" applyFill="1" applyBorder="1" applyAlignment="1">
      <alignment vertical="center"/>
    </xf>
    <xf numFmtId="3" fontId="10" fillId="0" borderId="71" xfId="0" applyNumberFormat="1" applyFont="1" applyBorder="1" applyAlignment="1">
      <alignment vertical="center"/>
    </xf>
    <xf numFmtId="3" fontId="11" fillId="0" borderId="64" xfId="0" applyNumberFormat="1" applyFont="1" applyBorder="1" applyAlignment="1">
      <alignment vertical="center"/>
    </xf>
    <xf numFmtId="3" fontId="11" fillId="0" borderId="71" xfId="0" applyNumberFormat="1" applyFont="1" applyBorder="1" applyAlignment="1">
      <alignment vertical="center"/>
    </xf>
    <xf numFmtId="0" fontId="10" fillId="0" borderId="0" xfId="5" applyFont="1" applyAlignment="1">
      <alignment vertical="center" wrapText="1"/>
    </xf>
    <xf numFmtId="0" fontId="60" fillId="0" borderId="61" xfId="0" applyFont="1" applyBorder="1" applyAlignment="1">
      <alignment horizontal="center" vertical="center"/>
    </xf>
    <xf numFmtId="41" fontId="60" fillId="25" borderId="61" xfId="0" applyNumberFormat="1" applyFont="1" applyFill="1" applyBorder="1" applyAlignment="1">
      <alignment horizontal="right" vertical="center" indent="1"/>
    </xf>
    <xf numFmtId="0" fontId="60" fillId="0" borderId="0" xfId="0" applyFont="1" applyAlignment="1">
      <alignment horizontal="left" wrapText="1"/>
    </xf>
    <xf numFmtId="0" fontId="90" fillId="0" borderId="19" xfId="0" applyFont="1" applyBorder="1" applyAlignment="1">
      <alignment horizontal="left" vertical="center" wrapText="1"/>
    </xf>
    <xf numFmtId="0" fontId="90" fillId="0" borderId="12" xfId="0" applyFont="1" applyBorder="1" applyAlignment="1">
      <alignment horizontal="center" vertical="center"/>
    </xf>
    <xf numFmtId="0" fontId="90" fillId="0" borderId="17" xfId="0" applyFont="1" applyBorder="1" applyAlignment="1">
      <alignment horizontal="center" vertical="center" wrapText="1"/>
    </xf>
    <xf numFmtId="0" fontId="90" fillId="0" borderId="0" xfId="0" applyFont="1"/>
    <xf numFmtId="0" fontId="91" fillId="0" borderId="0" xfId="0" applyFont="1"/>
    <xf numFmtId="0" fontId="92" fillId="0" borderId="25" xfId="0" applyFont="1" applyBorder="1" applyAlignment="1">
      <alignment horizontal="left" vertical="center" wrapText="1"/>
    </xf>
    <xf numFmtId="3" fontId="91" fillId="0" borderId="2" xfId="0" applyNumberFormat="1" applyFont="1" applyBorder="1" applyAlignment="1">
      <alignment horizontal="right" vertical="center" indent="1"/>
    </xf>
    <xf numFmtId="3" fontId="91" fillId="0" borderId="0" xfId="0" applyNumberFormat="1" applyFont="1"/>
    <xf numFmtId="41" fontId="91" fillId="0" borderId="2" xfId="0" applyNumberFormat="1" applyFont="1" applyBorder="1" applyAlignment="1">
      <alignment horizontal="right" vertical="center" indent="1"/>
    </xf>
    <xf numFmtId="0" fontId="91" fillId="0" borderId="25" xfId="3" applyFont="1" applyBorder="1" applyAlignment="1">
      <alignment horizontal="left" vertical="center" wrapText="1"/>
    </xf>
    <xf numFmtId="3" fontId="91" fillId="0" borderId="25" xfId="3" applyNumberFormat="1" applyFont="1" applyBorder="1" applyAlignment="1">
      <alignment horizontal="left" vertical="center" wrapText="1"/>
    </xf>
    <xf numFmtId="41" fontId="91" fillId="0" borderId="8" xfId="0" applyNumberFormat="1" applyFont="1" applyBorder="1" applyAlignment="1">
      <alignment horizontal="right" vertical="center" indent="1"/>
    </xf>
    <xf numFmtId="0" fontId="91" fillId="0" borderId="25" xfId="0" applyFont="1" applyBorder="1" applyAlignment="1">
      <alignment horizontal="left" vertical="center" wrapText="1"/>
    </xf>
    <xf numFmtId="0" fontId="91" fillId="0" borderId="0" xfId="0" applyFont="1" applyAlignment="1">
      <alignment vertical="center"/>
    </xf>
    <xf numFmtId="41" fontId="90" fillId="0" borderId="12" xfId="0" applyNumberFormat="1" applyFont="1" applyBorder="1" applyAlignment="1">
      <alignment horizontal="right" vertical="center" indent="1"/>
    </xf>
    <xf numFmtId="41" fontId="90" fillId="0" borderId="17" xfId="0" applyNumberFormat="1" applyFont="1" applyBorder="1" applyAlignment="1">
      <alignment horizontal="right" vertical="center" indent="1"/>
    </xf>
    <xf numFmtId="3" fontId="60" fillId="0" borderId="0" xfId="0" applyNumberFormat="1" applyFont="1"/>
    <xf numFmtId="0" fontId="31" fillId="0" borderId="74" xfId="0" applyFont="1" applyBorder="1" applyAlignment="1">
      <alignment vertical="center"/>
    </xf>
    <xf numFmtId="41" fontId="60" fillId="0" borderId="74" xfId="0" applyNumberFormat="1" applyFont="1" applyBorder="1" applyAlignment="1">
      <alignment horizontal="right" vertical="center"/>
    </xf>
    <xf numFmtId="41" fontId="31" fillId="0" borderId="74" xfId="0" applyNumberFormat="1" applyFont="1" applyBorder="1" applyAlignment="1">
      <alignment horizontal="right" vertical="center"/>
    </xf>
    <xf numFmtId="41" fontId="60" fillId="0" borderId="74" xfId="1" applyNumberFormat="1" applyFont="1" applyBorder="1" applyAlignment="1">
      <alignment horizontal="right" vertical="center"/>
    </xf>
    <xf numFmtId="41" fontId="31" fillId="0" borderId="74" xfId="1" applyNumberFormat="1" applyFont="1" applyBorder="1" applyAlignment="1">
      <alignment horizontal="right" vertical="center"/>
    </xf>
    <xf numFmtId="0" fontId="31" fillId="0" borderId="74" xfId="0" applyFont="1" applyFill="1" applyBorder="1" applyAlignment="1">
      <alignment horizontal="left" vertical="center"/>
    </xf>
    <xf numFmtId="41" fontId="31" fillId="0" borderId="74" xfId="0" applyNumberFormat="1" applyFont="1" applyFill="1" applyBorder="1" applyAlignment="1">
      <alignment horizontal="right" vertical="center"/>
    </xf>
    <xf numFmtId="41" fontId="31" fillId="8" borderId="74" xfId="0" applyNumberFormat="1" applyFont="1" applyFill="1" applyBorder="1" applyAlignment="1">
      <alignment horizontal="center" vertical="center"/>
    </xf>
    <xf numFmtId="0" fontId="67" fillId="8" borderId="74" xfId="0" applyFont="1" applyFill="1" applyBorder="1" applyAlignment="1">
      <alignment horizontal="center" vertical="center"/>
    </xf>
    <xf numFmtId="0" fontId="60" fillId="9" borderId="61" xfId="0" applyFont="1" applyFill="1" applyBorder="1" applyAlignment="1">
      <alignment horizontal="center" vertical="center"/>
    </xf>
    <xf numFmtId="0" fontId="31" fillId="9" borderId="61" xfId="0" applyFont="1" applyFill="1" applyBorder="1" applyAlignment="1">
      <alignment vertical="center" wrapText="1"/>
    </xf>
    <xf numFmtId="41" fontId="31" fillId="9" borderId="61" xfId="0" applyNumberFormat="1" applyFont="1" applyFill="1" applyBorder="1" applyAlignment="1">
      <alignment horizontal="right" vertical="center" indent="1"/>
    </xf>
    <xf numFmtId="0" fontId="31" fillId="9" borderId="61" xfId="0" applyFont="1" applyFill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31" fillId="0" borderId="61" xfId="0" applyFont="1" applyBorder="1" applyAlignment="1">
      <alignment vertical="center" wrapText="1"/>
    </xf>
    <xf numFmtId="41" fontId="31" fillId="25" borderId="61" xfId="0" applyNumberFormat="1" applyFont="1" applyFill="1" applyBorder="1" applyAlignment="1">
      <alignment horizontal="right" vertical="center" indent="1"/>
    </xf>
    <xf numFmtId="0" fontId="31" fillId="0" borderId="61" xfId="0" applyFont="1" applyBorder="1" applyAlignment="1">
      <alignment vertical="center"/>
    </xf>
    <xf numFmtId="41" fontId="28" fillId="0" borderId="74" xfId="0" applyNumberFormat="1" applyFont="1" applyBorder="1" applyAlignment="1">
      <alignment horizontal="right" vertical="center" indent="1"/>
    </xf>
    <xf numFmtId="41" fontId="60" fillId="0" borderId="13" xfId="0" applyNumberFormat="1" applyFont="1" applyBorder="1" applyAlignment="1">
      <alignment horizontal="right" vertical="center" indent="1"/>
    </xf>
    <xf numFmtId="41" fontId="60" fillId="0" borderId="74" xfId="0" applyNumberFormat="1" applyFont="1" applyBorder="1" applyAlignment="1">
      <alignment horizontal="right" vertical="center" indent="1"/>
    </xf>
    <xf numFmtId="41" fontId="60" fillId="0" borderId="2" xfId="0" applyNumberFormat="1" applyFont="1" applyBorder="1" applyAlignment="1">
      <alignment horizontal="right" vertical="center" indent="1"/>
    </xf>
    <xf numFmtId="41" fontId="61" fillId="25" borderId="65" xfId="0" applyNumberFormat="1" applyFont="1" applyFill="1" applyBorder="1" applyAlignment="1">
      <alignment horizontal="right" vertical="center" indent="1"/>
    </xf>
    <xf numFmtId="41" fontId="61" fillId="0" borderId="65" xfId="0" applyNumberFormat="1" applyFont="1" applyBorder="1"/>
    <xf numFmtId="41" fontId="61" fillId="0" borderId="67" xfId="0" applyNumberFormat="1" applyFont="1" applyBorder="1"/>
    <xf numFmtId="41" fontId="60" fillId="0" borderId="15" xfId="0" applyNumberFormat="1" applyFont="1" applyBorder="1" applyAlignment="1">
      <alignment horizontal="right" vertical="center" indent="1"/>
    </xf>
    <xf numFmtId="0" fontId="60" fillId="0" borderId="65" xfId="0" applyFont="1" applyBorder="1" applyAlignment="1">
      <alignment horizontal="left" vertical="center" wrapText="1"/>
    </xf>
    <xf numFmtId="0" fontId="68" fillId="0" borderId="66" xfId="5" applyFont="1" applyBorder="1" applyAlignment="1">
      <alignment horizontal="center" vertical="center"/>
    </xf>
    <xf numFmtId="0" fontId="60" fillId="0" borderId="74" xfId="0" applyFont="1" applyBorder="1" applyAlignment="1">
      <alignment horizontal="left" vertical="center" wrapText="1"/>
    </xf>
    <xf numFmtId="0" fontId="31" fillId="0" borderId="74" xfId="0" applyFont="1" applyBorder="1" applyAlignment="1">
      <alignment horizontal="left" vertical="center" wrapText="1"/>
    </xf>
    <xf numFmtId="41" fontId="60" fillId="0" borderId="74" xfId="1" applyNumberFormat="1" applyFont="1" applyBorder="1" applyAlignment="1">
      <alignment horizontal="right" vertical="center" indent="1"/>
    </xf>
    <xf numFmtId="0" fontId="68" fillId="0" borderId="66" xfId="0" applyFont="1" applyBorder="1" applyAlignment="1">
      <alignment horizontal="center" vertical="center"/>
    </xf>
    <xf numFmtId="0" fontId="68" fillId="0" borderId="66" xfId="5" applyFont="1" applyFill="1" applyBorder="1" applyAlignment="1">
      <alignment horizontal="center" vertical="center"/>
    </xf>
    <xf numFmtId="41" fontId="31" fillId="0" borderId="2" xfId="1" applyNumberFormat="1" applyFont="1" applyBorder="1" applyAlignment="1">
      <alignment horizontal="right" vertical="center" indent="1"/>
    </xf>
    <xf numFmtId="41" fontId="17" fillId="0" borderId="2" xfId="0" applyNumberFormat="1" applyFont="1" applyBorder="1" applyAlignment="1">
      <alignment horizontal="right" vertical="center" indent="1"/>
    </xf>
    <xf numFmtId="0" fontId="31" fillId="0" borderId="74" xfId="0" applyFont="1" applyBorder="1" applyAlignment="1">
      <alignment vertical="center" wrapText="1"/>
    </xf>
    <xf numFmtId="49" fontId="28" fillId="0" borderId="66" xfId="0" applyNumberFormat="1" applyFont="1" applyBorder="1" applyAlignment="1">
      <alignment horizontal="center" vertical="center"/>
    </xf>
    <xf numFmtId="41" fontId="27" fillId="0" borderId="74" xfId="0" applyNumberFormat="1" applyFont="1" applyBorder="1" applyAlignment="1">
      <alignment horizontal="right" vertical="center" indent="1"/>
    </xf>
    <xf numFmtId="41" fontId="28" fillId="0" borderId="2" xfId="0" applyNumberFormat="1" applyFont="1" applyBorder="1" applyAlignment="1">
      <alignment horizontal="right" vertical="center" indent="1"/>
    </xf>
    <xf numFmtId="41" fontId="16" fillId="0" borderId="63" xfId="0" applyNumberFormat="1" applyFont="1" applyBorder="1" applyAlignment="1">
      <alignment horizontal="right" vertical="center" indent="1"/>
    </xf>
    <xf numFmtId="41" fontId="28" fillId="0" borderId="63" xfId="0" applyNumberFormat="1" applyFont="1" applyBorder="1" applyAlignment="1">
      <alignment horizontal="right" vertical="center" indent="1"/>
    </xf>
    <xf numFmtId="41" fontId="17" fillId="0" borderId="63" xfId="0" applyNumberFormat="1" applyFont="1" applyBorder="1" applyAlignment="1">
      <alignment horizontal="right" vertical="center" indent="1"/>
    </xf>
    <xf numFmtId="41" fontId="19" fillId="0" borderId="2" xfId="0" applyNumberFormat="1" applyFont="1" applyBorder="1" applyAlignment="1">
      <alignment horizontal="right" vertical="center" indent="1"/>
    </xf>
    <xf numFmtId="49" fontId="19" fillId="0" borderId="66" xfId="0" applyNumberFormat="1" applyFont="1" applyBorder="1" applyAlignment="1">
      <alignment horizontal="center" vertical="center"/>
    </xf>
    <xf numFmtId="49" fontId="60" fillId="0" borderId="74" xfId="0" applyNumberFormat="1" applyFont="1" applyBorder="1" applyAlignment="1">
      <alignment horizontal="left" vertical="center" wrapText="1"/>
    </xf>
    <xf numFmtId="41" fontId="19" fillId="0" borderId="74" xfId="0" applyNumberFormat="1" applyFont="1" applyBorder="1" applyAlignment="1">
      <alignment horizontal="right" vertical="center" indent="1"/>
    </xf>
    <xf numFmtId="41" fontId="18" fillId="0" borderId="63" xfId="0" applyNumberFormat="1" applyFont="1" applyBorder="1" applyAlignment="1">
      <alignment horizontal="right" vertical="center" indent="1"/>
    </xf>
    <xf numFmtId="41" fontId="16" fillId="0" borderId="64" xfId="0" applyNumberFormat="1" applyFont="1" applyBorder="1" applyAlignment="1">
      <alignment horizontal="right" vertical="center" indent="1"/>
    </xf>
    <xf numFmtId="41" fontId="28" fillId="0" borderId="65" xfId="0" applyNumberFormat="1" applyFont="1" applyBorder="1" applyAlignment="1">
      <alignment horizontal="right" vertical="center" indent="1"/>
    </xf>
    <xf numFmtId="0" fontId="61" fillId="0" borderId="74" xfId="0" applyFont="1" applyBorder="1" applyAlignment="1">
      <alignment horizontal="left" vertical="center" wrapText="1"/>
    </xf>
    <xf numFmtId="41" fontId="27" fillId="0" borderId="2" xfId="0" applyNumberFormat="1" applyFont="1" applyBorder="1" applyAlignment="1">
      <alignment horizontal="right" vertical="center" indent="1"/>
    </xf>
    <xf numFmtId="49" fontId="27" fillId="0" borderId="66" xfId="0" applyNumberFormat="1" applyFont="1" applyBorder="1" applyAlignment="1">
      <alignment horizontal="center" vertical="center"/>
    </xf>
    <xf numFmtId="41" fontId="19" fillId="0" borderId="63" xfId="0" applyNumberFormat="1" applyFont="1" applyBorder="1" applyAlignment="1">
      <alignment horizontal="right" vertical="center" indent="1"/>
    </xf>
    <xf numFmtId="0" fontId="31" fillId="0" borderId="68" xfId="0" applyFont="1" applyBorder="1" applyAlignment="1">
      <alignment vertical="center" wrapText="1"/>
    </xf>
    <xf numFmtId="41" fontId="16" fillId="0" borderId="2" xfId="0" applyNumberFormat="1" applyFont="1" applyBorder="1" applyAlignment="1">
      <alignment horizontal="right" vertical="center" indent="1"/>
    </xf>
    <xf numFmtId="0" fontId="31" fillId="0" borderId="78" xfId="0" applyFont="1" applyBorder="1" applyAlignment="1">
      <alignment vertical="center" wrapText="1"/>
    </xf>
    <xf numFmtId="41" fontId="17" fillId="0" borderId="64" xfId="0" applyNumberFormat="1" applyFont="1" applyBorder="1" applyAlignment="1">
      <alignment horizontal="right" vertical="center" indent="1"/>
    </xf>
    <xf numFmtId="41" fontId="28" fillId="0" borderId="64" xfId="0" applyNumberFormat="1" applyFont="1" applyBorder="1" applyAlignment="1">
      <alignment horizontal="right" vertical="center" indent="1"/>
    </xf>
    <xf numFmtId="49" fontId="60" fillId="0" borderId="65" xfId="0" applyNumberFormat="1" applyFont="1" applyBorder="1" applyAlignment="1">
      <alignment horizontal="left" vertical="center" wrapText="1"/>
    </xf>
    <xf numFmtId="49" fontId="60" fillId="0" borderId="74" xfId="0" applyNumberFormat="1" applyFont="1" applyFill="1" applyBorder="1" applyAlignment="1">
      <alignment horizontal="left" vertical="center" wrapText="1"/>
    </xf>
    <xf numFmtId="49" fontId="31" fillId="0" borderId="74" xfId="0" applyNumberFormat="1" applyFont="1" applyBorder="1" applyAlignment="1">
      <alignment vertical="center" wrapText="1"/>
    </xf>
    <xf numFmtId="41" fontId="27" fillId="0" borderId="65" xfId="0" applyNumberFormat="1" applyFont="1" applyBorder="1" applyAlignment="1">
      <alignment horizontal="right" vertical="center" indent="1"/>
    </xf>
    <xf numFmtId="41" fontId="28" fillId="0" borderId="18" xfId="0" applyNumberFormat="1" applyFont="1" applyBorder="1" applyAlignment="1">
      <alignment horizontal="center" vertical="center" wrapText="1"/>
    </xf>
    <xf numFmtId="41" fontId="17" fillId="0" borderId="6" xfId="0" applyNumberFormat="1" applyFont="1" applyBorder="1" applyAlignment="1">
      <alignment horizontal="right" vertical="center" indent="1"/>
    </xf>
    <xf numFmtId="41" fontId="17" fillId="9" borderId="17" xfId="0" applyNumberFormat="1" applyFont="1" applyFill="1" applyBorder="1" applyAlignment="1">
      <alignment horizontal="right" vertical="center" indent="1"/>
    </xf>
    <xf numFmtId="41" fontId="28" fillId="0" borderId="6" xfId="0" applyNumberFormat="1" applyFont="1" applyBorder="1" applyAlignment="1">
      <alignment horizontal="right" vertical="center" indent="1"/>
    </xf>
    <xf numFmtId="41" fontId="28" fillId="0" borderId="67" xfId="0" applyNumberFormat="1" applyFont="1" applyBorder="1" applyAlignment="1">
      <alignment horizontal="right" vertical="center" indent="1"/>
    </xf>
    <xf numFmtId="41" fontId="27" fillId="0" borderId="67" xfId="0" applyNumberFormat="1" applyFont="1" applyBorder="1" applyAlignment="1">
      <alignment horizontal="right" vertical="center" indent="1"/>
    </xf>
    <xf numFmtId="41" fontId="16" fillId="0" borderId="74" xfId="0" applyNumberFormat="1" applyFont="1" applyBorder="1" applyAlignment="1">
      <alignment horizontal="right" vertical="center" indent="1"/>
    </xf>
    <xf numFmtId="41" fontId="27" fillId="0" borderId="6" xfId="0" applyNumberFormat="1" applyFont="1" applyBorder="1" applyAlignment="1">
      <alignment horizontal="right" vertical="center" indent="1"/>
    </xf>
    <xf numFmtId="0" fontId="60" fillId="0" borderId="0" xfId="0" applyFont="1" applyAlignment="1">
      <alignment vertical="center" wrapText="1"/>
    </xf>
    <xf numFmtId="0" fontId="23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60" fillId="0" borderId="3" xfId="5" applyFont="1" applyBorder="1" applyAlignment="1">
      <alignment horizontal="center" vertical="center"/>
    </xf>
    <xf numFmtId="0" fontId="9" fillId="0" borderId="0" xfId="5" applyFont="1" applyAlignment="1">
      <alignment vertical="center"/>
    </xf>
    <xf numFmtId="49" fontId="24" fillId="0" borderId="27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 wrapText="1"/>
    </xf>
    <xf numFmtId="41" fontId="21" fillId="6" borderId="53" xfId="0" applyNumberFormat="1" applyFont="1" applyFill="1" applyBorder="1" applyAlignment="1">
      <alignment horizontal="right" vertical="center" indent="1"/>
    </xf>
    <xf numFmtId="41" fontId="6" fillId="0" borderId="0" xfId="0" applyNumberFormat="1" applyFont="1" applyAlignment="1">
      <alignment horizontal="center"/>
    </xf>
    <xf numFmtId="3" fontId="20" fillId="0" borderId="0" xfId="0" applyNumberFormat="1" applyFont="1" applyBorder="1" applyAlignment="1">
      <alignment horizontal="right" vertical="center" wrapText="1" indent="1"/>
    </xf>
    <xf numFmtId="0" fontId="71" fillId="0" borderId="74" xfId="0" applyFont="1" applyFill="1" applyBorder="1" applyAlignment="1">
      <alignment horizontal="left" vertical="center"/>
    </xf>
    <xf numFmtId="0" fontId="93" fillId="0" borderId="74" xfId="0" applyFont="1" applyFill="1" applyBorder="1" applyAlignment="1">
      <alignment horizontal="left" vertical="center"/>
    </xf>
    <xf numFmtId="0" fontId="26" fillId="0" borderId="15" xfId="0" applyFont="1" applyBorder="1" applyAlignment="1">
      <alignment horizontal="left" vertical="center" wrapText="1"/>
    </xf>
    <xf numFmtId="0" fontId="31" fillId="0" borderId="61" xfId="0" applyFont="1" applyBorder="1" applyAlignment="1">
      <alignment horizontal="center" vertical="center"/>
    </xf>
    <xf numFmtId="41" fontId="31" fillId="9" borderId="52" xfId="1" applyNumberFormat="1" applyFont="1" applyFill="1" applyBorder="1" applyAlignment="1">
      <alignment horizontal="right" vertical="center" indent="1"/>
    </xf>
    <xf numFmtId="41" fontId="68" fillId="0" borderId="74" xfId="1" applyNumberFormat="1" applyFont="1" applyBorder="1" applyAlignment="1">
      <alignment horizontal="center" vertical="center"/>
    </xf>
    <xf numFmtId="41" fontId="7" fillId="0" borderId="68" xfId="0" applyNumberFormat="1" applyFont="1" applyBorder="1" applyAlignment="1">
      <alignment horizontal="right" vertical="center" indent="1"/>
    </xf>
    <xf numFmtId="41" fontId="10" fillId="0" borderId="0" xfId="0" applyNumberFormat="1" applyFont="1" applyAlignment="1">
      <alignment vertical="center"/>
    </xf>
    <xf numFmtId="41" fontId="67" fillId="0" borderId="0" xfId="0" applyNumberFormat="1" applyFont="1" applyFill="1" applyAlignment="1">
      <alignment vertical="center"/>
    </xf>
    <xf numFmtId="41" fontId="31" fillId="0" borderId="13" xfId="0" applyNumberFormat="1" applyFont="1" applyBorder="1" applyAlignment="1">
      <alignment horizontal="center" vertical="center" wrapText="1"/>
    </xf>
    <xf numFmtId="41" fontId="10" fillId="0" borderId="0" xfId="5" applyNumberFormat="1" applyFont="1" applyAlignment="1">
      <alignment vertical="center"/>
    </xf>
    <xf numFmtId="0" fontId="31" fillId="0" borderId="47" xfId="0" applyFont="1" applyBorder="1" applyAlignment="1">
      <alignment horizontal="center" vertical="center"/>
    </xf>
    <xf numFmtId="0" fontId="31" fillId="9" borderId="11" xfId="0" applyFont="1" applyFill="1" applyBorder="1" applyAlignment="1">
      <alignment horizontal="center" vertical="center"/>
    </xf>
    <xf numFmtId="0" fontId="60" fillId="0" borderId="73" xfId="0" applyFont="1" applyBorder="1" applyAlignment="1">
      <alignment horizontal="center" vertical="center"/>
    </xf>
    <xf numFmtId="49" fontId="61" fillId="0" borderId="79" xfId="0" applyNumberFormat="1" applyFont="1" applyBorder="1" applyAlignment="1">
      <alignment horizontal="center" vertical="center"/>
    </xf>
    <xf numFmtId="49" fontId="61" fillId="0" borderId="23" xfId="0" applyNumberFormat="1" applyFont="1" applyBorder="1" applyAlignment="1">
      <alignment horizontal="center" vertical="center"/>
    </xf>
    <xf numFmtId="49" fontId="61" fillId="0" borderId="81" xfId="0" applyNumberFormat="1" applyFont="1" applyBorder="1" applyAlignment="1">
      <alignment horizontal="center" vertical="center"/>
    </xf>
    <xf numFmtId="49" fontId="61" fillId="0" borderId="82" xfId="0" applyNumberFormat="1" applyFont="1" applyBorder="1" applyAlignment="1">
      <alignment horizontal="center" vertical="center"/>
    </xf>
    <xf numFmtId="0" fontId="60" fillId="0" borderId="83" xfId="0" applyFont="1" applyBorder="1" applyAlignment="1">
      <alignment horizontal="center" vertical="center"/>
    </xf>
    <xf numFmtId="0" fontId="31" fillId="9" borderId="19" xfId="0" applyFont="1" applyFill="1" applyBorder="1" applyAlignment="1">
      <alignment horizontal="left" vertical="center" wrapText="1"/>
    </xf>
    <xf numFmtId="0" fontId="60" fillId="0" borderId="25" xfId="0" applyFont="1" applyBorder="1" applyAlignment="1">
      <alignment horizontal="left" vertical="center" indent="1"/>
    </xf>
    <xf numFmtId="0" fontId="60" fillId="0" borderId="25" xfId="0" applyFont="1" applyBorder="1" applyAlignment="1">
      <alignment horizontal="left" vertical="center" indent="3"/>
    </xf>
    <xf numFmtId="0" fontId="31" fillId="9" borderId="19" xfId="0" applyFont="1" applyFill="1" applyBorder="1" applyAlignment="1">
      <alignment vertical="center" wrapText="1"/>
    </xf>
    <xf numFmtId="0" fontId="75" fillId="9" borderId="19" xfId="49" applyFont="1" applyFill="1" applyBorder="1" applyAlignment="1">
      <alignment vertical="center"/>
    </xf>
    <xf numFmtId="41" fontId="75" fillId="9" borderId="17" xfId="49" applyNumberFormat="1" applyFont="1" applyFill="1" applyBorder="1" applyAlignment="1">
      <alignment horizontal="right" vertical="center" indent="1"/>
    </xf>
    <xf numFmtId="41" fontId="60" fillId="0" borderId="8" xfId="0" applyNumberFormat="1" applyFont="1" applyBorder="1" applyAlignment="1">
      <alignment horizontal="right" vertical="center" indent="1"/>
    </xf>
    <xf numFmtId="41" fontId="60" fillId="0" borderId="84" xfId="0" applyNumberFormat="1" applyFont="1" applyBorder="1" applyAlignment="1">
      <alignment horizontal="right" vertical="center" indent="1"/>
    </xf>
    <xf numFmtId="41" fontId="61" fillId="25" borderId="8" xfId="0" applyNumberFormat="1" applyFont="1" applyFill="1" applyBorder="1" applyAlignment="1">
      <alignment horizontal="right" vertical="center" indent="1"/>
    </xf>
    <xf numFmtId="0" fontId="31" fillId="0" borderId="31" xfId="3" applyFont="1" applyBorder="1" applyAlignment="1">
      <alignment horizontal="center" vertical="center" wrapText="1"/>
    </xf>
    <xf numFmtId="0" fontId="31" fillId="0" borderId="62" xfId="3" applyFont="1" applyBorder="1" applyAlignment="1">
      <alignment horizontal="center" vertical="center" wrapText="1"/>
    </xf>
    <xf numFmtId="41" fontId="31" fillId="0" borderId="14" xfId="0" applyNumberFormat="1" applyFont="1" applyBorder="1" applyAlignment="1">
      <alignment horizontal="center" vertical="center" wrapText="1"/>
    </xf>
    <xf numFmtId="41" fontId="31" fillId="0" borderId="31" xfId="0" applyNumberFormat="1" applyFont="1" applyBorder="1" applyAlignment="1">
      <alignment horizontal="center" vertical="center" wrapText="1"/>
    </xf>
    <xf numFmtId="0" fontId="31" fillId="0" borderId="13" xfId="3" applyFont="1" applyBorder="1" applyAlignment="1">
      <alignment horizontal="center" vertical="center" wrapText="1"/>
    </xf>
    <xf numFmtId="41" fontId="31" fillId="3" borderId="25" xfId="3" applyNumberFormat="1" applyFont="1" applyFill="1" applyBorder="1" applyAlignment="1">
      <alignment horizontal="right" vertical="center" indent="1"/>
    </xf>
    <xf numFmtId="0" fontId="31" fillId="3" borderId="70" xfId="3" applyFont="1" applyFill="1" applyBorder="1" applyAlignment="1">
      <alignment horizontal="left" vertical="center" wrapText="1" indent="1"/>
    </xf>
    <xf numFmtId="41" fontId="31" fillId="3" borderId="25" xfId="3" applyNumberFormat="1" applyFont="1" applyFill="1" applyBorder="1" applyAlignment="1">
      <alignment horizontal="right" vertical="center" wrapText="1" indent="1"/>
    </xf>
    <xf numFmtId="41" fontId="31" fillId="3" borderId="2" xfId="3" applyNumberFormat="1" applyFont="1" applyFill="1" applyBorder="1" applyAlignment="1">
      <alignment horizontal="right" vertical="center" indent="1"/>
    </xf>
    <xf numFmtId="0" fontId="60" fillId="0" borderId="25" xfId="3" applyFont="1" applyBorder="1" applyAlignment="1">
      <alignment horizontal="center" vertical="center" wrapText="1"/>
    </xf>
    <xf numFmtId="0" fontId="68" fillId="0" borderId="70" xfId="0" applyFont="1" applyBorder="1" applyAlignment="1">
      <alignment horizontal="left" vertical="center" wrapText="1"/>
    </xf>
    <xf numFmtId="41" fontId="60" fillId="0" borderId="2" xfId="3" applyNumberFormat="1" applyFont="1" applyBorder="1" applyAlignment="1">
      <alignment horizontal="right" vertical="center" indent="1"/>
    </xf>
    <xf numFmtId="41" fontId="60" fillId="0" borderId="25" xfId="3" applyNumberFormat="1" applyFont="1" applyBorder="1" applyAlignment="1">
      <alignment horizontal="right" vertical="center" indent="1"/>
    </xf>
    <xf numFmtId="0" fontId="31" fillId="0" borderId="25" xfId="3" applyFont="1" applyBorder="1" applyAlignment="1">
      <alignment horizontal="center" vertical="center" wrapText="1"/>
    </xf>
    <xf numFmtId="0" fontId="60" fillId="0" borderId="0" xfId="3" applyFont="1" applyFill="1" applyBorder="1" applyAlignment="1">
      <alignment vertical="center" wrapText="1"/>
    </xf>
    <xf numFmtId="0" fontId="31" fillId="3" borderId="70" xfId="3" applyFont="1" applyFill="1" applyBorder="1" applyAlignment="1">
      <alignment horizontal="left" vertical="center" wrapText="1"/>
    </xf>
    <xf numFmtId="41" fontId="31" fillId="3" borderId="70" xfId="3" applyNumberFormat="1" applyFont="1" applyFill="1" applyBorder="1" applyAlignment="1">
      <alignment horizontal="left" vertical="center" wrapText="1"/>
    </xf>
    <xf numFmtId="0" fontId="31" fillId="3" borderId="69" xfId="3" applyFont="1" applyFill="1" applyBorder="1" applyAlignment="1">
      <alignment horizontal="left" vertical="center" wrapText="1"/>
    </xf>
    <xf numFmtId="41" fontId="31" fillId="4" borderId="27" xfId="3" applyNumberFormat="1" applyFont="1" applyFill="1" applyBorder="1" applyAlignment="1">
      <alignment horizontal="right" vertical="center" indent="1"/>
    </xf>
    <xf numFmtId="0" fontId="31" fillId="4" borderId="20" xfId="3" applyFont="1" applyFill="1" applyBorder="1" applyAlignment="1">
      <alignment horizontal="left" vertical="center" wrapText="1"/>
    </xf>
    <xf numFmtId="41" fontId="31" fillId="4" borderId="15" xfId="3" applyNumberFormat="1" applyFont="1" applyFill="1" applyBorder="1" applyAlignment="1">
      <alignment horizontal="right" vertical="center" indent="1"/>
    </xf>
    <xf numFmtId="41" fontId="31" fillId="4" borderId="16" xfId="3" applyNumberFormat="1" applyFont="1" applyFill="1" applyBorder="1" applyAlignment="1">
      <alignment horizontal="right" vertical="center" indent="1"/>
    </xf>
    <xf numFmtId="0" fontId="31" fillId="4" borderId="15" xfId="3" applyFont="1" applyFill="1" applyBorder="1" applyAlignment="1">
      <alignment horizontal="left" vertical="center" wrapText="1"/>
    </xf>
    <xf numFmtId="0" fontId="77" fillId="0" borderId="70" xfId="0" applyFont="1" applyBorder="1" applyAlignment="1">
      <alignment horizontal="left" vertical="center" wrapText="1" indent="2"/>
    </xf>
    <xf numFmtId="0" fontId="61" fillId="0" borderId="25" xfId="3" applyFont="1" applyBorder="1" applyAlignment="1">
      <alignment horizontal="center" vertical="center" wrapText="1"/>
    </xf>
    <xf numFmtId="41" fontId="61" fillId="0" borderId="2" xfId="3" applyNumberFormat="1" applyFont="1" applyBorder="1" applyAlignment="1">
      <alignment horizontal="right" vertical="center" indent="1"/>
    </xf>
    <xf numFmtId="0" fontId="31" fillId="0" borderId="19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60" fillId="0" borderId="5" xfId="0" applyFont="1" applyBorder="1" applyAlignment="1">
      <alignment vertical="center"/>
    </xf>
    <xf numFmtId="0" fontId="31" fillId="8" borderId="74" xfId="0" applyFont="1" applyFill="1" applyBorder="1" applyAlignment="1">
      <alignment horizontal="left" vertical="center"/>
    </xf>
    <xf numFmtId="0" fontId="67" fillId="0" borderId="13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7" fontId="61" fillId="0" borderId="0" xfId="0" applyNumberFormat="1" applyFont="1" applyFill="1" applyAlignment="1">
      <alignment horizontal="center" vertical="center" wrapText="1"/>
    </xf>
    <xf numFmtId="167" fontId="31" fillId="0" borderId="0" xfId="0" applyNumberFormat="1" applyFont="1" applyFill="1" applyAlignment="1">
      <alignment horizontal="center" vertical="center" wrapText="1"/>
    </xf>
    <xf numFmtId="167" fontId="86" fillId="0" borderId="0" xfId="0" applyNumberFormat="1" applyFont="1" applyFill="1" applyAlignment="1">
      <alignment horizontal="right" vertical="center"/>
    </xf>
    <xf numFmtId="0" fontId="31" fillId="0" borderId="14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75" xfId="0" applyFont="1" applyFill="1" applyBorder="1" applyAlignment="1" applyProtection="1">
      <alignment horizontal="left" vertical="center" wrapText="1" indent="1"/>
      <protection locked="0"/>
    </xf>
    <xf numFmtId="41" fontId="60" fillId="0" borderId="14" xfId="0" applyNumberFormat="1" applyFont="1" applyFill="1" applyBorder="1" applyAlignment="1" applyProtection="1">
      <alignment horizontal="right" vertical="center" indent="1"/>
      <protection locked="0"/>
    </xf>
    <xf numFmtId="41" fontId="60" fillId="0" borderId="62" xfId="0" applyNumberFormat="1" applyFont="1" applyBorder="1" applyAlignment="1">
      <alignment horizontal="right" indent="1"/>
    </xf>
    <xf numFmtId="41" fontId="60" fillId="0" borderId="62" xfId="0" applyNumberFormat="1" applyFont="1" applyBorder="1" applyAlignment="1">
      <alignment horizontal="right" vertical="center" indent="1"/>
    </xf>
    <xf numFmtId="41" fontId="60" fillId="0" borderId="14" xfId="0" applyNumberFormat="1" applyFont="1" applyBorder="1" applyAlignment="1">
      <alignment horizontal="right" vertical="center" indent="1"/>
    </xf>
    <xf numFmtId="0" fontId="60" fillId="0" borderId="25" xfId="0" applyFont="1" applyFill="1" applyBorder="1" applyAlignment="1">
      <alignment horizontal="center" vertical="center" wrapText="1"/>
    </xf>
    <xf numFmtId="0" fontId="60" fillId="0" borderId="70" xfId="0" applyFont="1" applyFill="1" applyBorder="1" applyAlignment="1" applyProtection="1">
      <alignment horizontal="left" vertical="center" wrapText="1" indent="1"/>
      <protection locked="0"/>
    </xf>
    <xf numFmtId="41" fontId="60" fillId="0" borderId="2" xfId="0" applyNumberFormat="1" applyFont="1" applyFill="1" applyBorder="1" applyAlignment="1" applyProtection="1">
      <alignment horizontal="right" vertical="center" indent="1"/>
      <protection locked="0"/>
    </xf>
    <xf numFmtId="41" fontId="60" fillId="0" borderId="70" xfId="0" applyNumberFormat="1" applyFont="1" applyBorder="1" applyAlignment="1">
      <alignment horizontal="right" indent="1"/>
    </xf>
    <xf numFmtId="41" fontId="60" fillId="0" borderId="70" xfId="0" applyNumberFormat="1" applyFont="1" applyBorder="1" applyAlignment="1">
      <alignment horizontal="right" vertical="center" indent="1"/>
    </xf>
    <xf numFmtId="41" fontId="60" fillId="0" borderId="70" xfId="0" applyNumberFormat="1" applyFont="1" applyFill="1" applyBorder="1" applyAlignment="1" applyProtection="1">
      <alignment horizontal="right" vertical="center" indent="1"/>
      <protection locked="0"/>
    </xf>
    <xf numFmtId="41" fontId="60" fillId="0" borderId="74" xfId="0" applyNumberFormat="1" applyFont="1" applyFill="1" applyBorder="1" applyAlignment="1" applyProtection="1">
      <alignment horizontal="right" vertical="center" indent="1"/>
      <protection locked="0"/>
    </xf>
    <xf numFmtId="41" fontId="61" fillId="0" borderId="74" xfId="0" applyNumberFormat="1" applyFont="1" applyBorder="1" applyAlignment="1">
      <alignment horizontal="right" vertical="center" indent="1"/>
    </xf>
    <xf numFmtId="41" fontId="61" fillId="0" borderId="2" xfId="0" applyNumberFormat="1" applyFont="1" applyBorder="1" applyAlignment="1">
      <alignment horizontal="right" vertical="center" indent="1"/>
    </xf>
    <xf numFmtId="0" fontId="61" fillId="0" borderId="66" xfId="0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1" fontId="61" fillId="0" borderId="84" xfId="0" applyNumberFormat="1" applyFont="1" applyFill="1" applyBorder="1" applyAlignment="1" applyProtection="1">
      <alignment horizontal="right" vertical="center" indent="1"/>
      <protection locked="0"/>
    </xf>
    <xf numFmtId="41" fontId="61" fillId="0" borderId="87" xfId="0" applyNumberFormat="1" applyFont="1" applyBorder="1" applyAlignment="1">
      <alignment horizontal="right" vertical="center" indent="1"/>
    </xf>
    <xf numFmtId="41" fontId="61" fillId="0" borderId="7" xfId="0" applyNumberFormat="1" applyFont="1" applyBorder="1" applyAlignment="1">
      <alignment horizontal="right" vertical="center" indent="1"/>
    </xf>
    <xf numFmtId="41" fontId="61" fillId="0" borderId="88" xfId="0" applyNumberFormat="1" applyFont="1" applyBorder="1" applyAlignment="1">
      <alignment horizontal="right" vertical="center" indent="1"/>
    </xf>
    <xf numFmtId="41" fontId="61" fillId="0" borderId="84" xfId="0" applyNumberFormat="1" applyFont="1" applyBorder="1" applyAlignment="1">
      <alignment horizontal="right" vertical="center" indent="1"/>
    </xf>
    <xf numFmtId="0" fontId="60" fillId="0" borderId="3" xfId="0" applyFont="1" applyBorder="1"/>
    <xf numFmtId="0" fontId="61" fillId="0" borderId="9" xfId="0" applyFont="1" applyFill="1" applyBorder="1" applyAlignment="1" applyProtection="1">
      <alignment horizontal="left" vertical="center" wrapText="1" indent="6"/>
      <protection locked="0"/>
    </xf>
    <xf numFmtId="0" fontId="61" fillId="0" borderId="3" xfId="0" applyFont="1" applyFill="1" applyBorder="1" applyAlignment="1">
      <alignment horizontal="center" vertical="center" wrapText="1"/>
    </xf>
    <xf numFmtId="41" fontId="61" fillId="0" borderId="89" xfId="0" applyNumberFormat="1" applyFont="1" applyFill="1" applyBorder="1" applyAlignment="1" applyProtection="1">
      <alignment horizontal="right" vertical="center" indent="1"/>
      <protection locked="0"/>
    </xf>
    <xf numFmtId="41" fontId="61" fillId="0" borderId="9" xfId="0" applyNumberFormat="1" applyFont="1" applyBorder="1" applyAlignment="1">
      <alignment horizontal="right" vertical="center" indent="1"/>
    </xf>
    <xf numFmtId="41" fontId="61" fillId="0" borderId="89" xfId="0" applyNumberFormat="1" applyFont="1" applyBorder="1" applyAlignment="1">
      <alignment horizontal="right" vertical="center" indent="1"/>
    </xf>
    <xf numFmtId="0" fontId="61" fillId="0" borderId="1" xfId="0" applyFont="1" applyFill="1" applyBorder="1" applyAlignment="1">
      <alignment horizontal="center" vertical="center" wrapText="1"/>
    </xf>
    <xf numFmtId="0" fontId="61" fillId="0" borderId="75" xfId="0" applyFont="1" applyFill="1" applyBorder="1" applyAlignment="1" applyProtection="1">
      <alignment horizontal="left" vertical="center" wrapText="1" indent="6"/>
      <protection locked="0"/>
    </xf>
    <xf numFmtId="41" fontId="61" fillId="0" borderId="85" xfId="0" applyNumberFormat="1" applyFont="1" applyFill="1" applyBorder="1" applyAlignment="1" applyProtection="1">
      <alignment horizontal="right" vertical="center" indent="1"/>
      <protection locked="0"/>
    </xf>
    <xf numFmtId="41" fontId="61" fillId="0" borderId="90" xfId="0" applyNumberFormat="1" applyFont="1" applyBorder="1" applyAlignment="1">
      <alignment horizontal="right" vertical="center" indent="1"/>
    </xf>
    <xf numFmtId="41" fontId="61" fillId="0" borderId="10" xfId="0" applyNumberFormat="1" applyFont="1" applyBorder="1" applyAlignment="1">
      <alignment horizontal="right" vertical="center" indent="1"/>
    </xf>
    <xf numFmtId="41" fontId="61" fillId="0" borderId="85" xfId="0" applyNumberFormat="1" applyFont="1" applyBorder="1" applyAlignment="1">
      <alignment horizontal="right" vertical="center" indent="1"/>
    </xf>
    <xf numFmtId="41" fontId="61" fillId="0" borderId="70" xfId="0" applyNumberFormat="1" applyFont="1" applyBorder="1" applyAlignment="1">
      <alignment horizontal="right" vertical="center" indent="1"/>
    </xf>
    <xf numFmtId="0" fontId="61" fillId="0" borderId="75" xfId="0" applyFont="1" applyFill="1" applyBorder="1" applyAlignment="1" applyProtection="1">
      <alignment horizontal="left" vertical="center" wrapText="1" indent="3"/>
      <protection locked="0"/>
    </xf>
    <xf numFmtId="41" fontId="61" fillId="0" borderId="6" xfId="0" applyNumberFormat="1" applyFont="1" applyFill="1" applyBorder="1" applyAlignment="1" applyProtection="1">
      <alignment horizontal="right" vertical="center" indent="1"/>
      <protection locked="0"/>
    </xf>
    <xf numFmtId="0" fontId="61" fillId="0" borderId="7" xfId="0" applyFont="1" applyFill="1" applyBorder="1" applyAlignment="1" applyProtection="1">
      <alignment horizontal="left" vertical="center" wrapText="1" indent="3"/>
      <protection locked="0"/>
    </xf>
    <xf numFmtId="41" fontId="60" fillId="0" borderId="7" xfId="0" applyNumberFormat="1" applyFont="1" applyBorder="1" applyAlignment="1">
      <alignment horizontal="right" vertical="center" indent="1"/>
    </xf>
    <xf numFmtId="0" fontId="77" fillId="0" borderId="10" xfId="0" applyFont="1" applyBorder="1" applyAlignment="1">
      <alignment horizontal="left" vertical="center" wrapText="1" indent="3"/>
    </xf>
    <xf numFmtId="41" fontId="60" fillId="0" borderId="10" xfId="0" applyNumberFormat="1" applyFont="1" applyBorder="1" applyAlignment="1">
      <alignment horizontal="right" vertical="center" indent="1"/>
    </xf>
    <xf numFmtId="41" fontId="60" fillId="0" borderId="85" xfId="0" applyNumberFormat="1" applyFont="1" applyBorder="1" applyAlignment="1">
      <alignment horizontal="right" vertical="center" indent="1"/>
    </xf>
    <xf numFmtId="0" fontId="60" fillId="0" borderId="66" xfId="0" applyFont="1" applyFill="1" applyBorder="1" applyAlignment="1">
      <alignment horizontal="center" vertical="center" wrapText="1"/>
    </xf>
    <xf numFmtId="0" fontId="60" fillId="0" borderId="71" xfId="0" applyFont="1" applyFill="1" applyBorder="1" applyAlignment="1" applyProtection="1">
      <alignment horizontal="left" vertical="center" wrapText="1" indent="1"/>
      <protection locked="0"/>
    </xf>
    <xf numFmtId="41" fontId="60" fillId="0" borderId="16" xfId="0" applyNumberFormat="1" applyFont="1" applyFill="1" applyBorder="1" applyAlignment="1" applyProtection="1">
      <alignment horizontal="right" vertical="center" indent="1"/>
      <protection locked="0"/>
    </xf>
    <xf numFmtId="41" fontId="60" fillId="0" borderId="20" xfId="0" applyNumberFormat="1" applyFont="1" applyBorder="1" applyAlignment="1">
      <alignment horizontal="right" vertical="center" indent="1"/>
    </xf>
    <xf numFmtId="41" fontId="60" fillId="0" borderId="16" xfId="0" applyNumberFormat="1" applyFont="1" applyBorder="1" applyAlignment="1">
      <alignment horizontal="right" vertical="center" indent="1"/>
    </xf>
    <xf numFmtId="0" fontId="69" fillId="9" borderId="11" xfId="0" applyFont="1" applyFill="1" applyBorder="1" applyAlignment="1">
      <alignment vertical="center"/>
    </xf>
    <xf numFmtId="0" fontId="69" fillId="9" borderId="4" xfId="0" applyFont="1" applyFill="1" applyBorder="1" applyAlignment="1">
      <alignment vertical="center"/>
    </xf>
    <xf numFmtId="41" fontId="69" fillId="9" borderId="17" xfId="0" applyNumberFormat="1" applyFont="1" applyFill="1" applyBorder="1" applyAlignment="1">
      <alignment horizontal="right" vertical="center" indent="1"/>
    </xf>
    <xf numFmtId="41" fontId="69" fillId="0" borderId="4" xfId="0" applyNumberFormat="1" applyFont="1" applyBorder="1" applyAlignment="1">
      <alignment horizontal="right" vertical="center" indent="1"/>
    </xf>
    <xf numFmtId="41" fontId="69" fillId="0" borderId="12" xfId="0" applyNumberFormat="1" applyFont="1" applyBorder="1" applyAlignment="1">
      <alignment horizontal="right" vertical="center" indent="1"/>
    </xf>
    <xf numFmtId="41" fontId="69" fillId="0" borderId="17" xfId="0" applyNumberFormat="1" applyFont="1" applyBorder="1" applyAlignment="1">
      <alignment horizontal="right" vertical="center" indent="1"/>
    </xf>
    <xf numFmtId="0" fontId="71" fillId="0" borderId="0" xfId="0" applyFont="1" applyAlignment="1">
      <alignment vertical="center"/>
    </xf>
    <xf numFmtId="41" fontId="60" fillId="0" borderId="0" xfId="0" applyNumberFormat="1" applyFont="1"/>
    <xf numFmtId="0" fontId="60" fillId="0" borderId="25" xfId="0" applyFont="1" applyFill="1" applyBorder="1" applyAlignment="1">
      <alignment horizontal="center" vertical="center"/>
    </xf>
    <xf numFmtId="164" fontId="31" fillId="25" borderId="2" xfId="1" applyNumberFormat="1" applyFont="1" applyFill="1" applyBorder="1" applyAlignment="1">
      <alignment horizontal="right" vertical="center"/>
    </xf>
    <xf numFmtId="164" fontId="31" fillId="25" borderId="63" xfId="1" applyNumberFormat="1" applyFont="1" applyFill="1" applyBorder="1" applyAlignment="1">
      <alignment horizontal="right" vertical="center"/>
    </xf>
    <xf numFmtId="164" fontId="31" fillId="0" borderId="63" xfId="1" applyNumberFormat="1" applyFont="1" applyBorder="1" applyAlignment="1">
      <alignment horizontal="right" vertical="center"/>
    </xf>
    <xf numFmtId="164" fontId="31" fillId="0" borderId="2" xfId="1" applyNumberFormat="1" applyFont="1" applyBorder="1" applyAlignment="1">
      <alignment horizontal="right" vertical="center"/>
    </xf>
    <xf numFmtId="0" fontId="68" fillId="0" borderId="74" xfId="0" applyFont="1" applyBorder="1" applyAlignment="1">
      <alignment vertical="center"/>
    </xf>
    <xf numFmtId="164" fontId="60" fillId="0" borderId="63" xfId="1" applyNumberFormat="1" applyFont="1" applyBorder="1" applyAlignment="1">
      <alignment horizontal="right" vertical="center"/>
    </xf>
    <xf numFmtId="164" fontId="68" fillId="0" borderId="74" xfId="1" applyNumberFormat="1" applyFont="1" applyBorder="1" applyAlignment="1">
      <alignment horizontal="center" vertical="center"/>
    </xf>
    <xf numFmtId="164" fontId="68" fillId="0" borderId="2" xfId="1" applyNumberFormat="1" applyFont="1" applyBorder="1" applyAlignment="1">
      <alignment horizontal="center" vertical="center"/>
    </xf>
    <xf numFmtId="41" fontId="31" fillId="25" borderId="63" xfId="1" applyNumberFormat="1" applyFont="1" applyFill="1" applyBorder="1" applyAlignment="1">
      <alignment horizontal="right" vertical="center" indent="1"/>
    </xf>
    <xf numFmtId="41" fontId="31" fillId="25" borderId="2" xfId="1" applyNumberFormat="1" applyFont="1" applyFill="1" applyBorder="1" applyAlignment="1">
      <alignment horizontal="right" vertical="center" indent="1"/>
    </xf>
    <xf numFmtId="41" fontId="60" fillId="25" borderId="63" xfId="1" applyNumberFormat="1" applyFont="1" applyFill="1" applyBorder="1" applyAlignment="1">
      <alignment horizontal="right" vertical="center" indent="1"/>
    </xf>
    <xf numFmtId="41" fontId="68" fillId="0" borderId="2" xfId="1" applyNumberFormat="1" applyFont="1" applyBorder="1" applyAlignment="1">
      <alignment horizontal="center" vertical="center"/>
    </xf>
    <xf numFmtId="41" fontId="31" fillId="0" borderId="63" xfId="1" applyNumberFormat="1" applyFont="1" applyBorder="1" applyAlignment="1">
      <alignment horizontal="right" vertical="center" indent="1"/>
    </xf>
    <xf numFmtId="0" fontId="60" fillId="0" borderId="74" xfId="0" applyFont="1" applyBorder="1" applyAlignment="1">
      <alignment horizontal="left" vertical="center"/>
    </xf>
    <xf numFmtId="41" fontId="67" fillId="0" borderId="74" xfId="1" applyNumberFormat="1" applyFont="1" applyBorder="1" applyAlignment="1">
      <alignment horizontal="center" vertical="center"/>
    </xf>
    <xf numFmtId="49" fontId="60" fillId="0" borderId="74" xfId="0" applyNumberFormat="1" applyFont="1" applyBorder="1" applyAlignment="1">
      <alignment vertical="center"/>
    </xf>
    <xf numFmtId="49" fontId="67" fillId="0" borderId="66" xfId="0" applyNumberFormat="1" applyFont="1" applyBorder="1" applyAlignment="1">
      <alignment horizontal="center" vertical="center"/>
    </xf>
    <xf numFmtId="41" fontId="31" fillId="25" borderId="64" xfId="1" applyNumberFormat="1" applyFont="1" applyFill="1" applyBorder="1" applyAlignment="1">
      <alignment horizontal="right" vertical="center" indent="1"/>
    </xf>
    <xf numFmtId="41" fontId="31" fillId="9" borderId="17" xfId="1" applyNumberFormat="1" applyFont="1" applyFill="1" applyBorder="1" applyAlignment="1">
      <alignment horizontal="right" vertical="center" indent="1"/>
    </xf>
    <xf numFmtId="0" fontId="31" fillId="8" borderId="31" xfId="0" applyFont="1" applyFill="1" applyBorder="1" applyAlignment="1">
      <alignment horizontal="center" vertical="center"/>
    </xf>
    <xf numFmtId="0" fontId="60" fillId="0" borderId="66" xfId="0" applyFont="1" applyFill="1" applyBorder="1" applyAlignment="1">
      <alignment horizontal="center" vertical="center"/>
    </xf>
    <xf numFmtId="0" fontId="60" fillId="0" borderId="3" xfId="0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41" fontId="31" fillId="0" borderId="2" xfId="0" applyNumberFormat="1" applyFont="1" applyFill="1" applyBorder="1" applyAlignment="1">
      <alignment horizontal="right" vertical="center"/>
    </xf>
    <xf numFmtId="0" fontId="31" fillId="8" borderId="25" xfId="0" applyFont="1" applyFill="1" applyBorder="1" applyAlignment="1">
      <alignment horizontal="center" vertical="center"/>
    </xf>
    <xf numFmtId="0" fontId="67" fillId="8" borderId="2" xfId="0" applyFont="1" applyFill="1" applyBorder="1" applyAlignment="1">
      <alignment horizontal="center" vertical="center"/>
    </xf>
    <xf numFmtId="0" fontId="60" fillId="0" borderId="25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41" fontId="31" fillId="0" borderId="2" xfId="0" applyNumberFormat="1" applyFont="1" applyBorder="1" applyAlignment="1">
      <alignment horizontal="right" vertical="center"/>
    </xf>
    <xf numFmtId="0" fontId="60" fillId="8" borderId="25" xfId="0" applyFont="1" applyFill="1" applyBorder="1" applyAlignment="1">
      <alignment horizontal="center" vertical="center"/>
    </xf>
    <xf numFmtId="41" fontId="67" fillId="0" borderId="2" xfId="0" applyNumberFormat="1" applyFont="1" applyBorder="1" applyAlignment="1">
      <alignment horizontal="right" vertical="center"/>
    </xf>
    <xf numFmtId="41" fontId="31" fillId="0" borderId="2" xfId="1" applyNumberFormat="1" applyFont="1" applyBorder="1" applyAlignment="1">
      <alignment horizontal="right" vertical="center"/>
    </xf>
    <xf numFmtId="0" fontId="60" fillId="3" borderId="27" xfId="0" applyFont="1" applyFill="1" applyBorder="1" applyAlignment="1">
      <alignment vertical="center"/>
    </xf>
    <xf numFmtId="0" fontId="31" fillId="3" borderId="15" xfId="0" applyFont="1" applyFill="1" applyBorder="1" applyAlignment="1">
      <alignment vertical="center"/>
    </xf>
    <xf numFmtId="41" fontId="31" fillId="9" borderId="15" xfId="0" applyNumberFormat="1" applyFont="1" applyFill="1" applyBorder="1" applyAlignment="1">
      <alignment horizontal="right" vertical="center"/>
    </xf>
    <xf numFmtId="41" fontId="31" fillId="9" borderId="16" xfId="0" applyNumberFormat="1" applyFont="1" applyFill="1" applyBorder="1" applyAlignment="1">
      <alignment horizontal="right" vertical="center"/>
    </xf>
    <xf numFmtId="41" fontId="62" fillId="0" borderId="2" xfId="0" applyNumberFormat="1" applyFont="1" applyFill="1" applyBorder="1" applyAlignment="1" applyProtection="1">
      <alignment horizontal="right" vertical="center"/>
      <protection locked="0"/>
    </xf>
    <xf numFmtId="41" fontId="75" fillId="0" borderId="2" xfId="0" applyNumberFormat="1" applyFont="1" applyBorder="1" applyAlignment="1">
      <alignment horizontal="right" vertical="center"/>
    </xf>
    <xf numFmtId="41" fontId="16" fillId="0" borderId="63" xfId="0" applyNumberFormat="1" applyFont="1" applyFill="1" applyBorder="1" applyAlignment="1">
      <alignment horizontal="right" vertical="center" indent="1"/>
    </xf>
    <xf numFmtId="49" fontId="28" fillId="0" borderId="1" xfId="0" applyNumberFormat="1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vertical="center" wrapText="1"/>
    </xf>
    <xf numFmtId="41" fontId="17" fillId="0" borderId="5" xfId="0" applyNumberFormat="1" applyFont="1" applyFill="1" applyBorder="1" applyAlignment="1">
      <alignment horizontal="right" vertical="center" indent="1"/>
    </xf>
    <xf numFmtId="41" fontId="17" fillId="0" borderId="14" xfId="0" applyNumberFormat="1" applyFont="1" applyFill="1" applyBorder="1" applyAlignment="1">
      <alignment horizontal="right" vertical="center" indent="1"/>
    </xf>
    <xf numFmtId="49" fontId="28" fillId="0" borderId="25" xfId="0" applyNumberFormat="1" applyFont="1" applyFill="1" applyBorder="1" applyAlignment="1">
      <alignment horizontal="center" vertical="center"/>
    </xf>
    <xf numFmtId="41" fontId="17" fillId="0" borderId="68" xfId="0" applyNumberFormat="1" applyFont="1" applyFill="1" applyBorder="1" applyAlignment="1">
      <alignment horizontal="right" vertical="center" indent="1"/>
    </xf>
    <xf numFmtId="41" fontId="17" fillId="0" borderId="2" xfId="0" applyNumberFormat="1" applyFont="1" applyFill="1" applyBorder="1" applyAlignment="1">
      <alignment horizontal="right" vertical="center" indent="1"/>
    </xf>
    <xf numFmtId="49" fontId="28" fillId="0" borderId="66" xfId="0" applyNumberFormat="1" applyFont="1" applyFill="1" applyBorder="1" applyAlignment="1">
      <alignment horizontal="center" vertical="center"/>
    </xf>
    <xf numFmtId="41" fontId="28" fillId="0" borderId="2" xfId="0" applyNumberFormat="1" applyFont="1" applyFill="1" applyBorder="1" applyAlignment="1">
      <alignment horizontal="right" vertical="center" indent="1"/>
    </xf>
    <xf numFmtId="49" fontId="28" fillId="0" borderId="3" xfId="0" applyNumberFormat="1" applyFont="1" applyFill="1" applyBorder="1" applyAlignment="1">
      <alignment horizontal="center" vertical="center"/>
    </xf>
    <xf numFmtId="41" fontId="27" fillId="0" borderId="63" xfId="0" applyNumberFormat="1" applyFont="1" applyFill="1" applyBorder="1" applyAlignment="1">
      <alignment horizontal="right" vertical="center" indent="1"/>
    </xf>
    <xf numFmtId="41" fontId="28" fillId="0" borderId="63" xfId="0" applyNumberFormat="1" applyFont="1" applyFill="1" applyBorder="1" applyAlignment="1">
      <alignment horizontal="right" vertical="center" indent="1"/>
    </xf>
    <xf numFmtId="41" fontId="17" fillId="0" borderId="63" xfId="0" applyNumberFormat="1" applyFont="1" applyFill="1" applyBorder="1" applyAlignment="1">
      <alignment horizontal="right" vertical="center" indent="1"/>
    </xf>
    <xf numFmtId="49" fontId="19" fillId="0" borderId="25" xfId="0" applyNumberFormat="1" applyFont="1" applyFill="1" applyBorder="1" applyAlignment="1">
      <alignment horizontal="center" vertical="center"/>
    </xf>
    <xf numFmtId="41" fontId="19" fillId="0" borderId="2" xfId="0" applyNumberFormat="1" applyFont="1" applyFill="1" applyBorder="1" applyAlignment="1">
      <alignment horizontal="right" vertical="center" indent="1"/>
    </xf>
    <xf numFmtId="41" fontId="17" fillId="0" borderId="49" xfId="0" applyNumberFormat="1" applyFont="1" applyFill="1" applyBorder="1" applyAlignment="1">
      <alignment horizontal="right" vertical="center" indent="1"/>
    </xf>
    <xf numFmtId="49" fontId="19" fillId="0" borderId="3" xfId="0" applyNumberFormat="1" applyFont="1" applyFill="1" applyBorder="1" applyAlignment="1">
      <alignment horizontal="center" vertical="center"/>
    </xf>
    <xf numFmtId="49" fontId="60" fillId="0" borderId="65" xfId="0" applyNumberFormat="1" applyFont="1" applyFill="1" applyBorder="1" applyAlignment="1">
      <alignment horizontal="left" vertical="center" wrapText="1"/>
    </xf>
    <xf numFmtId="41" fontId="16" fillId="0" borderId="64" xfId="0" applyNumberFormat="1" applyFont="1" applyFill="1" applyBorder="1" applyAlignment="1">
      <alignment horizontal="right" vertical="center" indent="1"/>
    </xf>
    <xf numFmtId="41" fontId="19" fillId="0" borderId="65" xfId="0" applyNumberFormat="1" applyFont="1" applyFill="1" applyBorder="1" applyAlignment="1">
      <alignment horizontal="right" vertical="center" indent="1"/>
    </xf>
    <xf numFmtId="41" fontId="19" fillId="0" borderId="67" xfId="0" applyNumberFormat="1" applyFont="1" applyFill="1" applyBorder="1" applyAlignment="1">
      <alignment horizontal="right" vertical="center" indent="1"/>
    </xf>
    <xf numFmtId="0" fontId="31" fillId="9" borderId="4" xfId="0" applyFont="1" applyFill="1" applyBorder="1" applyAlignment="1">
      <alignment horizontal="left" vertical="center" wrapText="1"/>
    </xf>
    <xf numFmtId="0" fontId="60" fillId="0" borderId="0" xfId="0" applyFont="1" applyAlignment="1">
      <alignment vertical="center" wrapText="1"/>
    </xf>
    <xf numFmtId="0" fontId="31" fillId="0" borderId="68" xfId="0" applyFont="1" applyBorder="1" applyAlignment="1">
      <alignment horizontal="left" vertical="center"/>
    </xf>
    <xf numFmtId="0" fontId="67" fillId="0" borderId="91" xfId="5" applyFont="1" applyBorder="1" applyAlignment="1">
      <alignment horizontal="center" vertical="center"/>
    </xf>
    <xf numFmtId="0" fontId="67" fillId="0" borderId="92" xfId="5" applyFont="1" applyBorder="1" applyAlignment="1">
      <alignment vertical="center" wrapText="1"/>
    </xf>
    <xf numFmtId="3" fontId="68" fillId="0" borderId="1" xfId="5" applyNumberFormat="1" applyFont="1" applyBorder="1" applyAlignment="1">
      <alignment horizontal="center" vertical="center"/>
    </xf>
    <xf numFmtId="41" fontId="68" fillId="25" borderId="5" xfId="5" applyNumberFormat="1" applyFont="1" applyFill="1" applyBorder="1" applyAlignment="1">
      <alignment horizontal="right" vertical="center" indent="1"/>
    </xf>
    <xf numFmtId="41" fontId="68" fillId="25" borderId="5" xfId="1" applyNumberFormat="1" applyFont="1" applyFill="1" applyBorder="1" applyAlignment="1">
      <alignment horizontal="right" vertical="center" indent="1"/>
    </xf>
    <xf numFmtId="41" fontId="60" fillId="0" borderId="5" xfId="5" applyNumberFormat="1" applyFont="1" applyBorder="1" applyAlignment="1">
      <alignment horizontal="center" vertical="center"/>
    </xf>
    <xf numFmtId="41" fontId="60" fillId="0" borderId="6" xfId="5" applyNumberFormat="1" applyFont="1" applyBorder="1" applyAlignment="1">
      <alignment vertical="center"/>
    </xf>
    <xf numFmtId="49" fontId="61" fillId="0" borderId="80" xfId="0" applyNumberFormat="1" applyFont="1" applyBorder="1" applyAlignment="1">
      <alignment horizontal="center" vertical="center"/>
    </xf>
    <xf numFmtId="41" fontId="61" fillId="25" borderId="10" xfId="0" applyNumberFormat="1" applyFont="1" applyFill="1" applyBorder="1" applyAlignment="1">
      <alignment horizontal="right" vertical="center" indent="1"/>
    </xf>
    <xf numFmtId="41" fontId="61" fillId="0" borderId="10" xfId="0" applyNumberFormat="1" applyFont="1" applyBorder="1"/>
    <xf numFmtId="41" fontId="61" fillId="25" borderId="5" xfId="0" applyNumberFormat="1" applyFont="1" applyFill="1" applyBorder="1" applyAlignment="1">
      <alignment horizontal="right" vertical="center" indent="1"/>
    </xf>
    <xf numFmtId="3" fontId="95" fillId="0" borderId="70" xfId="0" applyNumberFormat="1" applyFont="1" applyBorder="1" applyAlignment="1">
      <alignment vertical="center"/>
    </xf>
    <xf numFmtId="3" fontId="95" fillId="0" borderId="2" xfId="0" applyNumberFormat="1" applyFont="1" applyBorder="1" applyAlignment="1">
      <alignment vertical="center"/>
    </xf>
    <xf numFmtId="166" fontId="95" fillId="0" borderId="0" xfId="0" applyNumberFormat="1" applyFont="1" applyAlignment="1">
      <alignment vertical="center"/>
    </xf>
    <xf numFmtId="0" fontId="95" fillId="0" borderId="0" xfId="0" applyFont="1" applyAlignment="1">
      <alignment vertical="center"/>
    </xf>
    <xf numFmtId="3" fontId="84" fillId="0" borderId="0" xfId="0" applyNumberFormat="1" applyFont="1" applyBorder="1" applyAlignment="1">
      <alignment vertical="center"/>
    </xf>
    <xf numFmtId="0" fontId="74" fillId="0" borderId="3" xfId="5" applyFont="1" applyBorder="1" applyAlignment="1">
      <alignment horizontal="center" vertical="center"/>
    </xf>
    <xf numFmtId="0" fontId="71" fillId="0" borderId="74" xfId="0" applyFont="1" applyFill="1" applyBorder="1" applyAlignment="1">
      <alignment horizontal="left" vertical="center" wrapText="1"/>
    </xf>
    <xf numFmtId="0" fontId="93" fillId="0" borderId="74" xfId="0" applyFont="1" applyFill="1" applyBorder="1" applyAlignment="1">
      <alignment horizontal="left" vertical="center" wrapText="1"/>
    </xf>
    <xf numFmtId="0" fontId="68" fillId="0" borderId="63" xfId="5" applyFont="1" applyFill="1" applyBorder="1" applyAlignment="1">
      <alignment vertical="center" wrapText="1"/>
    </xf>
    <xf numFmtId="0" fontId="60" fillId="0" borderId="63" xfId="5" applyFont="1" applyFill="1" applyBorder="1" applyAlignment="1">
      <alignment vertical="center" wrapText="1"/>
    </xf>
    <xf numFmtId="0" fontId="71" fillId="0" borderId="74" xfId="0" applyFont="1" applyFill="1" applyBorder="1" applyAlignment="1">
      <alignment vertical="center" wrapText="1"/>
    </xf>
    <xf numFmtId="0" fontId="61" fillId="0" borderId="60" xfId="0" applyFont="1" applyFill="1" applyBorder="1" applyAlignment="1">
      <alignment horizontal="left" vertical="center" indent="3"/>
    </xf>
    <xf numFmtId="0" fontId="61" fillId="0" borderId="23" xfId="0" applyFont="1" applyFill="1" applyBorder="1" applyAlignment="1">
      <alignment horizontal="left" vertical="center" indent="3"/>
    </xf>
    <xf numFmtId="0" fontId="61" fillId="0" borderId="66" xfId="0" applyFont="1" applyFill="1" applyBorder="1" applyAlignment="1">
      <alignment horizontal="left" vertical="center" indent="3"/>
    </xf>
    <xf numFmtId="0" fontId="61" fillId="0" borderId="60" xfId="0" applyFont="1" applyFill="1" applyBorder="1" applyAlignment="1">
      <alignment horizontal="left" vertical="center" wrapText="1" indent="3"/>
    </xf>
    <xf numFmtId="0" fontId="60" fillId="0" borderId="25" xfId="0" applyFont="1" applyFill="1" applyBorder="1" applyAlignment="1">
      <alignment horizontal="left" vertical="center" indent="1"/>
    </xf>
    <xf numFmtId="0" fontId="60" fillId="0" borderId="25" xfId="0" applyFont="1" applyFill="1" applyBorder="1" applyAlignment="1">
      <alignment horizontal="left" vertical="center" wrapText="1" indent="1"/>
    </xf>
    <xf numFmtId="0" fontId="60" fillId="0" borderId="61" xfId="0" applyFont="1" applyFill="1" applyBorder="1" applyAlignment="1">
      <alignment vertical="center" wrapText="1"/>
    </xf>
    <xf numFmtId="0" fontId="68" fillId="0" borderId="5" xfId="5" applyFont="1" applyFill="1" applyBorder="1" applyAlignment="1">
      <alignment vertical="center" wrapText="1"/>
    </xf>
    <xf numFmtId="0" fontId="68" fillId="0" borderId="32" xfId="5" applyFont="1" applyFill="1" applyBorder="1" applyAlignment="1">
      <alignment vertical="center" wrapText="1"/>
    </xf>
    <xf numFmtId="164" fontId="31" fillId="9" borderId="12" xfId="1" applyNumberFormat="1" applyFont="1" applyFill="1" applyBorder="1" applyAlignment="1" applyProtection="1">
      <alignment horizontal="left" vertical="center"/>
    </xf>
    <xf numFmtId="0" fontId="60" fillId="0" borderId="94" xfId="0" applyFont="1" applyFill="1" applyBorder="1" applyAlignment="1">
      <alignment horizontal="left" vertical="center" wrapText="1"/>
    </xf>
    <xf numFmtId="0" fontId="67" fillId="0" borderId="18" xfId="0" applyFont="1" applyBorder="1" applyAlignment="1">
      <alignment horizontal="center" vertical="center" wrapText="1"/>
    </xf>
    <xf numFmtId="0" fontId="67" fillId="0" borderId="29" xfId="0" applyFont="1" applyBorder="1" applyAlignment="1">
      <alignment horizontal="center" vertical="center" wrapText="1"/>
    </xf>
    <xf numFmtId="41" fontId="54" fillId="3" borderId="94" xfId="3" applyNumberFormat="1" applyFont="1" applyFill="1" applyBorder="1" applyAlignment="1">
      <alignment horizontal="right" vertical="center" wrapText="1" indent="1"/>
    </xf>
    <xf numFmtId="0" fontId="54" fillId="3" borderId="94" xfId="3" applyFont="1" applyFill="1" applyBorder="1" applyAlignment="1">
      <alignment horizontal="left" vertical="center" wrapText="1" indent="1"/>
    </xf>
    <xf numFmtId="41" fontId="54" fillId="3" borderId="94" xfId="3" applyNumberFormat="1" applyFont="1" applyFill="1" applyBorder="1" applyAlignment="1">
      <alignment horizontal="right" vertical="center" indent="1"/>
    </xf>
    <xf numFmtId="41" fontId="55" fillId="0" borderId="94" xfId="3" applyNumberFormat="1" applyFont="1" applyBorder="1" applyAlignment="1">
      <alignment horizontal="right" vertical="center" indent="1"/>
    </xf>
    <xf numFmtId="0" fontId="55" fillId="0" borderId="94" xfId="0" applyFont="1" applyBorder="1" applyAlignment="1">
      <alignment horizontal="left" vertical="center" wrapText="1"/>
    </xf>
    <xf numFmtId="41" fontId="55" fillId="25" borderId="94" xfId="3" applyNumberFormat="1" applyFont="1" applyFill="1" applyBorder="1" applyAlignment="1">
      <alignment horizontal="right" vertical="center" indent="1"/>
    </xf>
    <xf numFmtId="0" fontId="54" fillId="3" borderId="94" xfId="3" applyFont="1" applyFill="1" applyBorder="1" applyAlignment="1">
      <alignment horizontal="left" vertical="center" indent="1"/>
    </xf>
    <xf numFmtId="41" fontId="54" fillId="0" borderId="94" xfId="3" applyNumberFormat="1" applyFont="1" applyBorder="1" applyAlignment="1">
      <alignment horizontal="right" vertical="center" indent="1"/>
    </xf>
    <xf numFmtId="41" fontId="54" fillId="0" borderId="94" xfId="3" applyNumberFormat="1" applyFont="1" applyFill="1" applyBorder="1" applyAlignment="1">
      <alignment horizontal="right" vertical="center" indent="1"/>
    </xf>
    <xf numFmtId="41" fontId="54" fillId="0" borderId="2" xfId="3" applyNumberFormat="1" applyFont="1" applyFill="1" applyBorder="1" applyAlignment="1">
      <alignment horizontal="right" vertical="center" indent="1"/>
    </xf>
    <xf numFmtId="0" fontId="54" fillId="3" borderId="94" xfId="3" applyFont="1" applyFill="1" applyBorder="1" applyAlignment="1">
      <alignment horizontal="left" vertical="center" wrapText="1"/>
    </xf>
    <xf numFmtId="0" fontId="54" fillId="0" borderId="94" xfId="3" applyNumberFormat="1" applyFont="1" applyFill="1" applyBorder="1" applyAlignment="1">
      <alignment horizontal="left" vertical="center" wrapText="1"/>
    </xf>
    <xf numFmtId="41" fontId="57" fillId="0" borderId="94" xfId="3" applyNumberFormat="1" applyFont="1" applyBorder="1" applyAlignment="1">
      <alignment horizontal="right" vertical="center" indent="1"/>
    </xf>
    <xf numFmtId="0" fontId="55" fillId="0" borderId="94" xfId="3" applyFont="1" applyBorder="1" applyAlignment="1">
      <alignment horizontal="left" vertical="center" indent="1"/>
    </xf>
    <xf numFmtId="0" fontId="55" fillId="0" borderId="94" xfId="3" applyFont="1" applyBorder="1" applyAlignment="1">
      <alignment horizontal="left" vertical="center" wrapText="1" indent="1"/>
    </xf>
    <xf numFmtId="0" fontId="55" fillId="0" borderId="24" xfId="3" applyFont="1" applyFill="1" applyBorder="1" applyAlignment="1">
      <alignment horizontal="left" indent="1"/>
    </xf>
    <xf numFmtId="41" fontId="55" fillId="0" borderId="24" xfId="3" applyNumberFormat="1" applyFont="1" applyFill="1" applyBorder="1" applyAlignment="1">
      <alignment horizontal="right" indent="1"/>
    </xf>
    <xf numFmtId="41" fontId="55" fillId="0" borderId="57" xfId="3" applyNumberFormat="1" applyFont="1" applyFill="1" applyBorder="1" applyAlignment="1">
      <alignment horizontal="right" indent="1"/>
    </xf>
    <xf numFmtId="0" fontId="54" fillId="3" borderId="11" xfId="3" applyFont="1" applyFill="1" applyBorder="1" applyAlignment="1">
      <alignment horizontal="left" vertical="center" wrapText="1"/>
    </xf>
    <xf numFmtId="41" fontId="54" fillId="3" borderId="12" xfId="3" applyNumberFormat="1" applyFont="1" applyFill="1" applyBorder="1" applyAlignment="1">
      <alignment horizontal="right" vertical="center" indent="1"/>
    </xf>
    <xf numFmtId="0" fontId="23" fillId="0" borderId="94" xfId="0" applyFont="1" applyBorder="1" applyAlignment="1">
      <alignment horizontal="left" vertical="center" wrapText="1"/>
    </xf>
    <xf numFmtId="0" fontId="26" fillId="0" borderId="94" xfId="0" applyFont="1" applyBorder="1" applyAlignment="1">
      <alignment horizontal="left" vertical="center" wrapText="1"/>
    </xf>
    <xf numFmtId="41" fontId="21" fillId="6" borderId="14" xfId="0" applyNumberFormat="1" applyFont="1" applyFill="1" applyBorder="1" applyAlignment="1">
      <alignment horizontal="right" vertical="center" indent="1"/>
    </xf>
    <xf numFmtId="0" fontId="12" fillId="0" borderId="94" xfId="0" applyFont="1" applyBorder="1" applyAlignment="1">
      <alignment vertical="center"/>
    </xf>
    <xf numFmtId="49" fontId="22" fillId="9" borderId="19" xfId="0" applyNumberFormat="1" applyFont="1" applyFill="1" applyBorder="1" applyAlignment="1">
      <alignment horizontal="center" vertical="center"/>
    </xf>
    <xf numFmtId="41" fontId="20" fillId="9" borderId="53" xfId="0" applyNumberFormat="1" applyFont="1" applyFill="1" applyBorder="1" applyAlignment="1">
      <alignment horizontal="right" vertical="center" indent="1"/>
    </xf>
    <xf numFmtId="41" fontId="66" fillId="9" borderId="55" xfId="49" applyNumberFormat="1" applyFont="1" applyFill="1" applyBorder="1" applyAlignment="1">
      <alignment horizontal="right" vertical="center" indent="1"/>
    </xf>
    <xf numFmtId="41" fontId="21" fillId="6" borderId="94" xfId="0" applyNumberFormat="1" applyFont="1" applyFill="1" applyBorder="1" applyAlignment="1">
      <alignment horizontal="right" vertical="center" indent="1"/>
    </xf>
    <xf numFmtId="41" fontId="21" fillId="6" borderId="13" xfId="0" applyNumberFormat="1" applyFont="1" applyFill="1" applyBorder="1" applyAlignment="1">
      <alignment horizontal="right" vertical="center" indent="1"/>
    </xf>
    <xf numFmtId="49" fontId="26" fillId="0" borderId="27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41" fontId="21" fillId="6" borderId="15" xfId="0" applyNumberFormat="1" applyFont="1" applyFill="1" applyBorder="1" applyAlignment="1">
      <alignment horizontal="right" vertical="center" indent="1"/>
    </xf>
    <xf numFmtId="41" fontId="21" fillId="6" borderId="16" xfId="0" applyNumberFormat="1" applyFont="1" applyFill="1" applyBorder="1" applyAlignment="1">
      <alignment horizontal="right" vertical="center" indent="1"/>
    </xf>
    <xf numFmtId="0" fontId="31" fillId="0" borderId="94" xfId="0" applyFont="1" applyFill="1" applyBorder="1" applyAlignment="1">
      <alignment vertical="center" wrapText="1"/>
    </xf>
    <xf numFmtId="41" fontId="17" fillId="0" borderId="94" xfId="0" applyNumberFormat="1" applyFont="1" applyFill="1" applyBorder="1" applyAlignment="1">
      <alignment horizontal="right" vertical="center" indent="1"/>
    </xf>
    <xf numFmtId="41" fontId="27" fillId="0" borderId="94" xfId="0" applyNumberFormat="1" applyFont="1" applyFill="1" applyBorder="1" applyAlignment="1">
      <alignment horizontal="right" vertical="center" indent="1"/>
    </xf>
    <xf numFmtId="41" fontId="28" fillId="0" borderId="94" xfId="0" applyNumberFormat="1" applyFont="1" applyFill="1" applyBorder="1" applyAlignment="1">
      <alignment horizontal="right" vertical="center" indent="1"/>
    </xf>
    <xf numFmtId="41" fontId="59" fillId="0" borderId="94" xfId="0" applyNumberFormat="1" applyFont="1" applyFill="1" applyBorder="1" applyAlignment="1">
      <alignment horizontal="right" vertical="center" indent="1"/>
    </xf>
    <xf numFmtId="41" fontId="51" fillId="0" borderId="94" xfId="0" applyNumberFormat="1" applyFont="1" applyFill="1" applyBorder="1" applyAlignment="1">
      <alignment horizontal="right" vertical="center" indent="1"/>
    </xf>
    <xf numFmtId="0" fontId="60" fillId="0" borderId="94" xfId="0" applyFont="1" applyFill="1" applyBorder="1" applyAlignment="1">
      <alignment vertical="center" wrapText="1"/>
    </xf>
    <xf numFmtId="0" fontId="62" fillId="0" borderId="94" xfId="0" applyFont="1" applyFill="1" applyBorder="1" applyAlignment="1">
      <alignment horizontal="left" vertical="center" wrapText="1"/>
    </xf>
    <xf numFmtId="49" fontId="60" fillId="0" borderId="94" xfId="0" applyNumberFormat="1" applyFont="1" applyFill="1" applyBorder="1" applyAlignment="1">
      <alignment horizontal="left" vertical="center" wrapText="1"/>
    </xf>
    <xf numFmtId="41" fontId="19" fillId="0" borderId="94" xfId="0" applyNumberFormat="1" applyFont="1" applyFill="1" applyBorder="1" applyAlignment="1">
      <alignment horizontal="right" vertical="center" indent="1"/>
    </xf>
    <xf numFmtId="49" fontId="60" fillId="0" borderId="94" xfId="0" applyNumberFormat="1" applyFont="1" applyBorder="1" applyAlignment="1">
      <alignment horizontal="left" vertical="center" wrapText="1"/>
    </xf>
    <xf numFmtId="41" fontId="19" fillId="0" borderId="94" xfId="0" applyNumberFormat="1" applyFont="1" applyBorder="1" applyAlignment="1">
      <alignment horizontal="right" vertical="center" indent="1"/>
    </xf>
    <xf numFmtId="0" fontId="31" fillId="0" borderId="94" xfId="0" applyFont="1" applyBorder="1" applyAlignment="1">
      <alignment vertical="center" wrapText="1"/>
    </xf>
    <xf numFmtId="0" fontId="61" fillId="0" borderId="94" xfId="0" applyFont="1" applyBorder="1" applyAlignment="1">
      <alignment horizontal="left" vertical="center" wrapText="1"/>
    </xf>
    <xf numFmtId="0" fontId="31" fillId="0" borderId="94" xfId="0" applyFont="1" applyBorder="1" applyAlignment="1">
      <alignment horizontal="left" vertical="center" wrapText="1"/>
    </xf>
    <xf numFmtId="0" fontId="60" fillId="0" borderId="94" xfId="0" applyFont="1" applyBorder="1" applyAlignment="1">
      <alignment horizontal="left" vertical="center" wrapText="1"/>
    </xf>
    <xf numFmtId="41" fontId="27" fillId="0" borderId="94" xfId="0" applyNumberFormat="1" applyFont="1" applyBorder="1" applyAlignment="1">
      <alignment horizontal="right" vertical="center" indent="1"/>
    </xf>
    <xf numFmtId="41" fontId="16" fillId="0" borderId="94" xfId="0" applyNumberFormat="1" applyFont="1" applyBorder="1" applyAlignment="1">
      <alignment horizontal="right" vertical="center" indent="1"/>
    </xf>
    <xf numFmtId="49" fontId="31" fillId="0" borderId="94" xfId="0" applyNumberFormat="1" applyFont="1" applyBorder="1" applyAlignment="1">
      <alignment vertical="center" wrapText="1"/>
    </xf>
    <xf numFmtId="41" fontId="28" fillId="0" borderId="94" xfId="0" applyNumberFormat="1" applyFont="1" applyBorder="1" applyAlignment="1">
      <alignment horizontal="right" vertical="center" indent="1"/>
    </xf>
    <xf numFmtId="49" fontId="16" fillId="0" borderId="34" xfId="0" applyNumberFormat="1" applyFont="1" applyBorder="1" applyAlignment="1">
      <alignment horizontal="center" vertical="center"/>
    </xf>
    <xf numFmtId="0" fontId="60" fillId="0" borderId="15" xfId="0" applyFont="1" applyBorder="1" applyAlignment="1">
      <alignment horizontal="left" vertical="center" wrapText="1"/>
    </xf>
    <xf numFmtId="41" fontId="16" fillId="0" borderId="21" xfId="0" applyNumberFormat="1" applyFont="1" applyBorder="1" applyAlignment="1">
      <alignment horizontal="right" vertical="center" indent="1"/>
    </xf>
    <xf numFmtId="41" fontId="28" fillId="0" borderId="15" xfId="0" applyNumberFormat="1" applyFont="1" applyBorder="1" applyAlignment="1">
      <alignment horizontal="right" vertical="center" indent="1"/>
    </xf>
    <xf numFmtId="41" fontId="28" fillId="0" borderId="16" xfId="0" applyNumberFormat="1" applyFont="1" applyBorder="1" applyAlignment="1">
      <alignment horizontal="right" vertical="center" indent="1"/>
    </xf>
    <xf numFmtId="164" fontId="31" fillId="25" borderId="6" xfId="1" applyNumberFormat="1" applyFont="1" applyFill="1" applyBorder="1" applyAlignment="1">
      <alignment horizontal="right" vertical="center"/>
    </xf>
    <xf numFmtId="0" fontId="67" fillId="0" borderId="17" xfId="0" applyFont="1" applyBorder="1" applyAlignment="1">
      <alignment horizontal="center" vertical="center" wrapText="1"/>
    </xf>
    <xf numFmtId="41" fontId="60" fillId="0" borderId="2" xfId="5" applyNumberFormat="1" applyFont="1" applyBorder="1" applyAlignment="1">
      <alignment horizontal="right" vertical="center"/>
    </xf>
    <xf numFmtId="41" fontId="68" fillId="0" borderId="94" xfId="1" applyNumberFormat="1" applyFont="1" applyBorder="1" applyAlignment="1">
      <alignment horizontal="right" vertical="center" indent="1"/>
    </xf>
    <xf numFmtId="41" fontId="60" fillId="0" borderId="94" xfId="1" applyNumberFormat="1" applyFont="1" applyBorder="1" applyAlignment="1">
      <alignment horizontal="right" vertical="center" indent="1"/>
    </xf>
    <xf numFmtId="41" fontId="68" fillId="25" borderId="94" xfId="1" applyNumberFormat="1" applyFont="1" applyFill="1" applyBorder="1" applyAlignment="1">
      <alignment horizontal="right" vertical="center" indent="1"/>
    </xf>
    <xf numFmtId="41" fontId="31" fillId="0" borderId="94" xfId="1" applyNumberFormat="1" applyFont="1" applyBorder="1" applyAlignment="1">
      <alignment horizontal="right" vertical="center" indent="1"/>
    </xf>
    <xf numFmtId="0" fontId="71" fillId="0" borderId="94" xfId="0" applyFont="1" applyFill="1" applyBorder="1" applyAlignment="1">
      <alignment horizontal="left" vertical="center"/>
    </xf>
    <xf numFmtId="41" fontId="62" fillId="0" borderId="94" xfId="0" applyNumberFormat="1" applyFont="1" applyFill="1" applyBorder="1" applyAlignment="1" applyProtection="1">
      <alignment horizontal="right" vertical="center"/>
      <protection locked="0"/>
    </xf>
    <xf numFmtId="0" fontId="93" fillId="0" borderId="94" xfId="0" applyFont="1" applyFill="1" applyBorder="1" applyAlignment="1">
      <alignment horizontal="left" vertical="center" wrapText="1"/>
    </xf>
    <xf numFmtId="0" fontId="93" fillId="0" borderId="94" xfId="0" applyFont="1" applyFill="1" applyBorder="1" applyAlignment="1">
      <alignment horizontal="left" vertical="center"/>
    </xf>
    <xf numFmtId="0" fontId="71" fillId="0" borderId="94" xfId="0" applyFont="1" applyFill="1" applyBorder="1" applyAlignment="1">
      <alignment horizontal="left" vertical="center" wrapText="1"/>
    </xf>
    <xf numFmtId="41" fontId="76" fillId="0" borderId="94" xfId="0" applyNumberFormat="1" applyFont="1" applyFill="1" applyBorder="1" applyAlignment="1" applyProtection="1">
      <alignment horizontal="right" vertical="center"/>
      <protection locked="0"/>
    </xf>
    <xf numFmtId="0" fontId="31" fillId="0" borderId="94" xfId="0" applyFont="1" applyBorder="1" applyAlignment="1">
      <alignment vertical="center"/>
    </xf>
    <xf numFmtId="41" fontId="75" fillId="0" borderId="94" xfId="0" applyNumberFormat="1" applyFont="1" applyBorder="1" applyAlignment="1">
      <alignment horizontal="right" vertical="center"/>
    </xf>
    <xf numFmtId="41" fontId="60" fillId="0" borderId="94" xfId="0" applyNumberFormat="1" applyFont="1" applyBorder="1" applyAlignment="1">
      <alignment horizontal="right" vertical="center"/>
    </xf>
    <xf numFmtId="0" fontId="71" fillId="0" borderId="94" xfId="0" applyFont="1" applyFill="1" applyBorder="1" applyAlignment="1">
      <alignment vertical="center" wrapText="1"/>
    </xf>
    <xf numFmtId="41" fontId="75" fillId="0" borderId="94" xfId="0" applyNumberFormat="1" applyFont="1" applyFill="1" applyBorder="1" applyAlignment="1" applyProtection="1">
      <alignment horizontal="right" vertical="center"/>
      <protection locked="0"/>
    </xf>
    <xf numFmtId="41" fontId="75" fillId="0" borderId="2" xfId="0" applyNumberFormat="1" applyFont="1" applyFill="1" applyBorder="1" applyAlignment="1" applyProtection="1">
      <alignment horizontal="right" vertical="center"/>
      <protection locked="0"/>
    </xf>
    <xf numFmtId="41" fontId="60" fillId="0" borderId="94" xfId="1" applyNumberFormat="1" applyFont="1" applyBorder="1" applyAlignment="1">
      <alignment horizontal="right" vertical="center"/>
    </xf>
    <xf numFmtId="41" fontId="31" fillId="0" borderId="94" xfId="1" applyNumberFormat="1" applyFont="1" applyBorder="1" applyAlignment="1">
      <alignment horizontal="right" vertical="center"/>
    </xf>
    <xf numFmtId="41" fontId="60" fillId="0" borderId="94" xfId="0" applyNumberFormat="1" applyFont="1" applyBorder="1" applyAlignment="1">
      <alignment horizontal="right" vertical="center" indent="1"/>
    </xf>
    <xf numFmtId="41" fontId="60" fillId="0" borderId="94" xfId="0" applyNumberFormat="1" applyFont="1" applyBorder="1"/>
    <xf numFmtId="41" fontId="61" fillId="0" borderId="94" xfId="0" applyNumberFormat="1" applyFont="1" applyBorder="1"/>
    <xf numFmtId="0" fontId="68" fillId="0" borderId="25" xfId="5" applyFont="1" applyBorder="1" applyAlignment="1">
      <alignment horizontal="center" vertical="center"/>
    </xf>
    <xf numFmtId="0" fontId="68" fillId="0" borderId="94" xfId="5" applyFont="1" applyFill="1" applyBorder="1" applyAlignment="1">
      <alignment vertical="center" wrapText="1"/>
    </xf>
    <xf numFmtId="0" fontId="60" fillId="0" borderId="94" xfId="0" applyFont="1" applyBorder="1" applyAlignment="1">
      <alignment vertical="center"/>
    </xf>
    <xf numFmtId="0" fontId="60" fillId="0" borderId="2" xfId="0" applyFont="1" applyBorder="1" applyAlignment="1">
      <alignment vertical="center"/>
    </xf>
    <xf numFmtId="41" fontId="68" fillId="25" borderId="94" xfId="5" applyNumberFormat="1" applyFont="1" applyFill="1" applyBorder="1" applyAlignment="1">
      <alignment horizontal="right" vertical="center" indent="1"/>
    </xf>
    <xf numFmtId="41" fontId="60" fillId="0" borderId="94" xfId="5" applyNumberFormat="1" applyFont="1" applyBorder="1" applyAlignment="1">
      <alignment horizontal="center" vertical="center"/>
    </xf>
    <xf numFmtId="0" fontId="60" fillId="0" borderId="65" xfId="0" applyFont="1" applyFill="1" applyBorder="1" applyAlignment="1">
      <alignment vertical="center"/>
    </xf>
    <xf numFmtId="41" fontId="60" fillId="0" borderId="65" xfId="0" applyNumberFormat="1" applyFont="1" applyBorder="1" applyAlignment="1">
      <alignment horizontal="right" vertical="center" indent="1"/>
    </xf>
    <xf numFmtId="41" fontId="60" fillId="0" borderId="67" xfId="0" applyNumberFormat="1" applyFont="1" applyBorder="1" applyAlignment="1">
      <alignment vertical="center"/>
    </xf>
    <xf numFmtId="0" fontId="9" fillId="6" borderId="6" xfId="0" applyFont="1" applyFill="1" applyBorder="1"/>
    <xf numFmtId="0" fontId="9" fillId="6" borderId="94" xfId="0" applyFont="1" applyFill="1" applyBorder="1"/>
    <xf numFmtId="0" fontId="9" fillId="6" borderId="2" xfId="0" applyFont="1" applyFill="1" applyBorder="1"/>
    <xf numFmtId="0" fontId="7" fillId="6" borderId="94" xfId="0" applyFont="1" applyFill="1" applyBorder="1" applyAlignment="1">
      <alignment horizontal="left" vertical="center" wrapText="1"/>
    </xf>
    <xf numFmtId="4" fontId="7" fillId="6" borderId="2" xfId="0" applyNumberFormat="1" applyFont="1" applyFill="1" applyBorder="1" applyAlignment="1" applyProtection="1">
      <alignment horizontal="right" vertical="center" indent="3"/>
    </xf>
    <xf numFmtId="0" fontId="12" fillId="6" borderId="94" xfId="0" applyFont="1" applyFill="1" applyBorder="1" applyAlignment="1">
      <alignment horizontal="left" vertical="center" wrapText="1" indent="2"/>
    </xf>
    <xf numFmtId="4" fontId="12" fillId="6" borderId="2" xfId="0" applyNumberFormat="1" applyFont="1" applyFill="1" applyBorder="1" applyAlignment="1" applyProtection="1">
      <alignment horizontal="right" vertical="center" indent="3"/>
    </xf>
    <xf numFmtId="49" fontId="7" fillId="6" borderId="66" xfId="0" applyNumberFormat="1" applyFont="1" applyFill="1" applyBorder="1" applyAlignment="1" applyProtection="1">
      <alignment horizontal="center" vertical="center"/>
    </xf>
    <xf numFmtId="3" fontId="7" fillId="6" borderId="65" xfId="0" applyNumberFormat="1" applyFont="1" applyFill="1" applyBorder="1" applyAlignment="1">
      <alignment vertical="center"/>
    </xf>
    <xf numFmtId="4" fontId="7" fillId="6" borderId="67" xfId="0" applyNumberFormat="1" applyFont="1" applyFill="1" applyBorder="1" applyAlignment="1" applyProtection="1">
      <alignment horizontal="right" vertical="center" indent="3"/>
    </xf>
    <xf numFmtId="4" fontId="7" fillId="9" borderId="17" xfId="0" applyNumberFormat="1" applyFont="1" applyFill="1" applyBorder="1" applyAlignment="1" applyProtection="1">
      <alignment horizontal="right" vertical="center" indent="3"/>
    </xf>
    <xf numFmtId="0" fontId="60" fillId="0" borderId="66" xfId="0" applyFont="1" applyBorder="1" applyAlignment="1">
      <alignment horizontal="left" vertical="center"/>
    </xf>
    <xf numFmtId="41" fontId="60" fillId="0" borderId="65" xfId="0" applyNumberFormat="1" applyFont="1" applyBorder="1" applyAlignment="1">
      <alignment horizontal="right" vertical="center"/>
    </xf>
    <xf numFmtId="41" fontId="60" fillId="0" borderId="67" xfId="0" applyNumberFormat="1" applyFont="1" applyBorder="1" applyAlignment="1">
      <alignment horizontal="right" vertical="center"/>
    </xf>
    <xf numFmtId="0" fontId="60" fillId="0" borderId="23" xfId="0" applyFont="1" applyBorder="1" applyAlignment="1">
      <alignment horizontal="center" vertical="center"/>
    </xf>
    <xf numFmtId="3" fontId="60" fillId="0" borderId="77" xfId="0" applyNumberFormat="1" applyFont="1" applyBorder="1" applyAlignment="1">
      <alignment horizontal="center" vertical="center"/>
    </xf>
    <xf numFmtId="0" fontId="31" fillId="0" borderId="36" xfId="50" applyFont="1" applyFill="1" applyBorder="1" applyAlignment="1" applyProtection="1">
      <alignment horizontal="center" wrapText="1"/>
    </xf>
    <xf numFmtId="0" fontId="68" fillId="0" borderId="94" xfId="0" applyFont="1" applyBorder="1" applyAlignment="1">
      <alignment horizontal="left" vertical="center" wrapText="1"/>
    </xf>
    <xf numFmtId="0" fontId="60" fillId="0" borderId="94" xfId="50" applyFont="1" applyFill="1" applyBorder="1" applyAlignment="1" applyProtection="1">
      <alignment horizontal="left" vertical="center"/>
    </xf>
    <xf numFmtId="0" fontId="60" fillId="0" borderId="94" xfId="50" applyFont="1" applyFill="1" applyBorder="1" applyAlignment="1" applyProtection="1">
      <alignment horizontal="left" vertical="center" wrapText="1"/>
    </xf>
    <xf numFmtId="41" fontId="90" fillId="0" borderId="19" xfId="0" applyNumberFormat="1" applyFont="1" applyBorder="1" applyAlignment="1">
      <alignment vertical="center" wrapText="1"/>
    </xf>
    <xf numFmtId="3" fontId="91" fillId="0" borderId="94" xfId="0" applyNumberFormat="1" applyFont="1" applyBorder="1" applyAlignment="1">
      <alignment horizontal="right" vertical="center" indent="1"/>
    </xf>
    <xf numFmtId="164" fontId="31" fillId="9" borderId="17" xfId="1" applyNumberFormat="1" applyFont="1" applyFill="1" applyBorder="1" applyAlignment="1" applyProtection="1">
      <alignment horizontal="left" vertical="center"/>
    </xf>
    <xf numFmtId="41" fontId="31" fillId="3" borderId="94" xfId="3" applyNumberFormat="1" applyFont="1" applyFill="1" applyBorder="1" applyAlignment="1">
      <alignment horizontal="right" vertical="center" wrapText="1" indent="1"/>
    </xf>
    <xf numFmtId="0" fontId="31" fillId="3" borderId="94" xfId="3" applyFont="1" applyFill="1" applyBorder="1" applyAlignment="1">
      <alignment horizontal="left" vertical="center" wrapText="1"/>
    </xf>
    <xf numFmtId="41" fontId="31" fillId="3" borderId="94" xfId="3" applyNumberFormat="1" applyFont="1" applyFill="1" applyBorder="1" applyAlignment="1">
      <alignment horizontal="right" vertical="center" indent="1"/>
    </xf>
    <xf numFmtId="41" fontId="60" fillId="0" borderId="94" xfId="3" applyNumberFormat="1" applyFont="1" applyBorder="1" applyAlignment="1">
      <alignment horizontal="right" vertical="center" indent="1"/>
    </xf>
    <xf numFmtId="41" fontId="60" fillId="25" borderId="94" xfId="3" applyNumberFormat="1" applyFont="1" applyFill="1" applyBorder="1" applyAlignment="1">
      <alignment horizontal="right" vertical="center" indent="1"/>
    </xf>
    <xf numFmtId="41" fontId="61" fillId="0" borderId="94" xfId="3" applyNumberFormat="1" applyFont="1" applyBorder="1" applyAlignment="1">
      <alignment horizontal="right" vertical="center" indent="1"/>
    </xf>
    <xf numFmtId="0" fontId="60" fillId="0" borderId="94" xfId="0" applyFont="1" applyBorder="1"/>
    <xf numFmtId="49" fontId="69" fillId="3" borderId="34" xfId="5" applyNumberFormat="1" applyFont="1" applyFill="1" applyBorder="1" applyAlignment="1">
      <alignment horizontal="center" vertical="center"/>
    </xf>
    <xf numFmtId="0" fontId="70" fillId="3" borderId="53" xfId="5" applyFont="1" applyFill="1" applyBorder="1" applyAlignment="1">
      <alignment vertical="center" wrapText="1"/>
    </xf>
    <xf numFmtId="41" fontId="61" fillId="0" borderId="97" xfId="0" applyNumberFormat="1" applyFont="1" applyFill="1" applyBorder="1" applyAlignment="1" applyProtection="1">
      <alignment horizontal="right" vertical="center" indent="1"/>
      <protection locked="0"/>
    </xf>
    <xf numFmtId="49" fontId="17" fillId="0" borderId="94" xfId="0" applyNumberFormat="1" applyFont="1" applyBorder="1" applyAlignment="1">
      <alignment horizontal="center" vertical="center"/>
    </xf>
    <xf numFmtId="41" fontId="17" fillId="0" borderId="94" xfId="0" applyNumberFormat="1" applyFont="1" applyBorder="1" applyAlignment="1">
      <alignment horizontal="center" vertical="center" wrapText="1"/>
    </xf>
    <xf numFmtId="41" fontId="28" fillId="0" borderId="94" xfId="0" applyNumberFormat="1" applyFont="1" applyBorder="1" applyAlignment="1">
      <alignment horizontal="center" vertical="center" wrapText="1"/>
    </xf>
    <xf numFmtId="49" fontId="28" fillId="9" borderId="94" xfId="0" applyNumberFormat="1" applyFont="1" applyFill="1" applyBorder="1" applyAlignment="1">
      <alignment horizontal="center" vertical="center"/>
    </xf>
    <xf numFmtId="0" fontId="31" fillId="9" borderId="94" xfId="0" applyFont="1" applyFill="1" applyBorder="1" applyAlignment="1">
      <alignment horizontal="left" vertical="center" wrapText="1"/>
    </xf>
    <xf numFmtId="41" fontId="17" fillId="9" borderId="94" xfId="0" applyNumberFormat="1" applyFont="1" applyFill="1" applyBorder="1" applyAlignment="1">
      <alignment horizontal="right" vertical="center" indent="1"/>
    </xf>
    <xf numFmtId="49" fontId="28" fillId="0" borderId="94" xfId="0" applyNumberFormat="1" applyFont="1" applyFill="1" applyBorder="1" applyAlignment="1">
      <alignment horizontal="center" vertical="center"/>
    </xf>
    <xf numFmtId="41" fontId="16" fillId="0" borderId="94" xfId="0" applyNumberFormat="1" applyFont="1" applyFill="1" applyBorder="1" applyAlignment="1">
      <alignment horizontal="right" vertical="center" indent="1"/>
    </xf>
    <xf numFmtId="49" fontId="19" fillId="0" borderId="94" xfId="0" applyNumberFormat="1" applyFont="1" applyFill="1" applyBorder="1" applyAlignment="1">
      <alignment horizontal="center" vertical="center"/>
    </xf>
    <xf numFmtId="0" fontId="31" fillId="9" borderId="94" xfId="0" applyFont="1" applyFill="1" applyBorder="1" applyAlignment="1">
      <alignment vertical="center" wrapText="1"/>
    </xf>
    <xf numFmtId="49" fontId="28" fillId="0" borderId="94" xfId="0" applyNumberFormat="1" applyFont="1" applyBorder="1" applyAlignment="1">
      <alignment horizontal="center" vertical="center"/>
    </xf>
    <xf numFmtId="41" fontId="17" fillId="0" borderId="94" xfId="0" applyNumberFormat="1" applyFont="1" applyBorder="1" applyAlignment="1">
      <alignment horizontal="right" vertical="center" indent="1"/>
    </xf>
    <xf numFmtId="49" fontId="19" fillId="0" borderId="94" xfId="0" applyNumberFormat="1" applyFont="1" applyBorder="1" applyAlignment="1">
      <alignment horizontal="center" vertical="center"/>
    </xf>
    <xf numFmtId="41" fontId="18" fillId="0" borderId="94" xfId="0" applyNumberFormat="1" applyFont="1" applyBorder="1" applyAlignment="1">
      <alignment horizontal="right" vertical="center" indent="1"/>
    </xf>
    <xf numFmtId="49" fontId="27" fillId="0" borderId="94" xfId="0" applyNumberFormat="1" applyFont="1" applyBorder="1" applyAlignment="1">
      <alignment horizontal="center" vertical="center"/>
    </xf>
    <xf numFmtId="49" fontId="17" fillId="9" borderId="94" xfId="0" applyNumberFormat="1" applyFont="1" applyFill="1" applyBorder="1" applyAlignment="1">
      <alignment horizontal="center" vertical="center"/>
    </xf>
    <xf numFmtId="49" fontId="28" fillId="9" borderId="94" xfId="0" applyNumberFormat="1" applyFont="1" applyFill="1" applyBorder="1" applyAlignment="1">
      <alignment horizontal="left" vertical="center"/>
    </xf>
    <xf numFmtId="0" fontId="31" fillId="0" borderId="94" xfId="5" applyFont="1" applyBorder="1" applyAlignment="1">
      <alignment horizontal="center" vertical="center"/>
    </xf>
    <xf numFmtId="0" fontId="31" fillId="0" borderId="94" xfId="5" applyFont="1" applyBorder="1" applyAlignment="1">
      <alignment horizontal="center" vertical="center" wrapText="1"/>
    </xf>
    <xf numFmtId="3" fontId="31" fillId="0" borderId="94" xfId="1" applyNumberFormat="1" applyFont="1" applyBorder="1" applyAlignment="1">
      <alignment horizontal="center" vertical="center" wrapText="1"/>
    </xf>
    <xf numFmtId="3" fontId="67" fillId="0" borderId="94" xfId="0" applyNumberFormat="1" applyFont="1" applyBorder="1" applyAlignment="1">
      <alignment horizontal="center" vertical="center" wrapText="1"/>
    </xf>
    <xf numFmtId="49" fontId="31" fillId="3" borderId="94" xfId="5" applyNumberFormat="1" applyFont="1" applyFill="1" applyBorder="1" applyAlignment="1">
      <alignment horizontal="center" vertical="center"/>
    </xf>
    <xf numFmtId="0" fontId="31" fillId="3" borderId="94" xfId="5" applyFont="1" applyFill="1" applyBorder="1" applyAlignment="1">
      <alignment vertical="center" wrapText="1"/>
    </xf>
    <xf numFmtId="0" fontId="68" fillId="8" borderId="94" xfId="5" applyFont="1" applyFill="1" applyBorder="1" applyAlignment="1">
      <alignment horizontal="center" vertical="center"/>
    </xf>
    <xf numFmtId="0" fontId="67" fillId="8" borderId="94" xfId="5" applyFont="1" applyFill="1" applyBorder="1" applyAlignment="1">
      <alignment vertical="center" wrapText="1"/>
    </xf>
    <xf numFmtId="0" fontId="67" fillId="3" borderId="94" xfId="5" applyFont="1" applyFill="1" applyBorder="1" applyAlignment="1">
      <alignment vertical="center" wrapText="1"/>
    </xf>
    <xf numFmtId="41" fontId="60" fillId="0" borderId="74" xfId="0" applyNumberFormat="1" applyFont="1" applyBorder="1" applyAlignment="1">
      <alignment horizontal="center" vertical="center"/>
    </xf>
    <xf numFmtId="0" fontId="55" fillId="0" borderId="54" xfId="3" applyFont="1" applyFill="1" applyBorder="1" applyAlignment="1">
      <alignment horizontal="left" indent="1"/>
    </xf>
    <xf numFmtId="41" fontId="55" fillId="0" borderId="54" xfId="3" applyNumberFormat="1" applyFont="1" applyFill="1" applyBorder="1" applyAlignment="1">
      <alignment horizontal="right" indent="1"/>
    </xf>
    <xf numFmtId="41" fontId="55" fillId="0" borderId="26" xfId="3" applyNumberFormat="1" applyFont="1" applyFill="1" applyBorder="1" applyAlignment="1">
      <alignment horizontal="right" indent="1"/>
    </xf>
    <xf numFmtId="41" fontId="55" fillId="25" borderId="2" xfId="3" applyNumberFormat="1" applyFont="1" applyFill="1" applyBorder="1" applyAlignment="1">
      <alignment horizontal="right" vertical="center" indent="1"/>
    </xf>
    <xf numFmtId="41" fontId="54" fillId="4" borderId="16" xfId="3" applyNumberFormat="1" applyFont="1" applyFill="1" applyBorder="1" applyAlignment="1">
      <alignment horizontal="right" vertical="center" indent="1"/>
    </xf>
    <xf numFmtId="41" fontId="54" fillId="3" borderId="94" xfId="3" applyNumberFormat="1" applyFont="1" applyFill="1" applyBorder="1" applyAlignment="1">
      <alignment vertical="center" wrapText="1"/>
    </xf>
    <xf numFmtId="41" fontId="55" fillId="0" borderId="94" xfId="3" applyNumberFormat="1" applyFont="1" applyBorder="1" applyAlignment="1">
      <alignment vertical="center"/>
    </xf>
    <xf numFmtId="41" fontId="54" fillId="3" borderId="94" xfId="3" applyNumberFormat="1" applyFont="1" applyFill="1" applyBorder="1" applyAlignment="1">
      <alignment vertical="center"/>
    </xf>
    <xf numFmtId="41" fontId="54" fillId="0" borderId="94" xfId="3" applyNumberFormat="1" applyFont="1" applyBorder="1" applyAlignment="1">
      <alignment vertical="center"/>
    </xf>
    <xf numFmtId="41" fontId="54" fillId="0" borderId="94" xfId="3" applyNumberFormat="1" applyFont="1" applyFill="1" applyBorder="1" applyAlignment="1">
      <alignment vertical="center"/>
    </xf>
    <xf numFmtId="169" fontId="57" fillId="0" borderId="94" xfId="3" applyNumberFormat="1" applyFont="1" applyBorder="1" applyAlignment="1">
      <alignment vertical="center"/>
    </xf>
    <xf numFmtId="41" fontId="57" fillId="0" borderId="94" xfId="3" applyNumberFormat="1" applyFont="1" applyBorder="1" applyAlignment="1">
      <alignment vertical="center"/>
    </xf>
    <xf numFmtId="169" fontId="57" fillId="0" borderId="65" xfId="3" applyNumberFormat="1" applyFont="1" applyBorder="1" applyAlignment="1">
      <alignment vertical="center"/>
    </xf>
    <xf numFmtId="169" fontId="54" fillId="4" borderId="15" xfId="3" applyNumberFormat="1" applyFont="1" applyFill="1" applyBorder="1" applyAlignment="1">
      <alignment vertical="center"/>
    </xf>
    <xf numFmtId="41" fontId="54" fillId="4" borderId="15" xfId="3" applyNumberFormat="1" applyFont="1" applyFill="1" applyBorder="1" applyAlignment="1">
      <alignment vertical="center"/>
    </xf>
    <xf numFmtId="41" fontId="54" fillId="3" borderId="56" xfId="3" applyNumberFormat="1" applyFont="1" applyFill="1" applyBorder="1" applyAlignment="1">
      <alignment vertical="center"/>
    </xf>
    <xf numFmtId="0" fontId="55" fillId="0" borderId="94" xfId="3" applyNumberFormat="1" applyFont="1" applyFill="1" applyBorder="1" applyAlignment="1">
      <alignment horizontal="left" vertical="center" wrapText="1"/>
    </xf>
    <xf numFmtId="0" fontId="57" fillId="0" borderId="66" xfId="3" applyFont="1" applyBorder="1" applyAlignment="1">
      <alignment horizontal="left" vertical="center" indent="1"/>
    </xf>
    <xf numFmtId="41" fontId="57" fillId="0" borderId="65" xfId="3" applyNumberFormat="1" applyFont="1" applyBorder="1" applyAlignment="1">
      <alignment vertical="center"/>
    </xf>
    <xf numFmtId="0" fontId="55" fillId="0" borderId="65" xfId="3" applyFont="1" applyBorder="1" applyAlignment="1">
      <alignment horizontal="left" vertical="center" wrapText="1" indent="1"/>
    </xf>
    <xf numFmtId="41" fontId="55" fillId="0" borderId="65" xfId="3" applyNumberFormat="1" applyFont="1" applyBorder="1" applyAlignment="1">
      <alignment horizontal="right" vertical="center" indent="1"/>
    </xf>
    <xf numFmtId="41" fontId="55" fillId="0" borderId="67" xfId="3" applyNumberFormat="1" applyFont="1" applyBorder="1" applyAlignment="1">
      <alignment horizontal="right" vertical="center" indent="1"/>
    </xf>
    <xf numFmtId="41" fontId="55" fillId="0" borderId="94" xfId="3" applyNumberFormat="1" applyFont="1" applyFill="1" applyBorder="1" applyAlignment="1">
      <alignment horizontal="right" vertical="center" indent="1"/>
    </xf>
    <xf numFmtId="0" fontId="68" fillId="0" borderId="23" xfId="5" applyFont="1" applyBorder="1" applyAlignment="1">
      <alignment horizontal="center" vertical="center"/>
    </xf>
    <xf numFmtId="0" fontId="68" fillId="0" borderId="94" xfId="5" applyFont="1" applyBorder="1" applyAlignment="1">
      <alignment vertical="center" wrapText="1"/>
    </xf>
    <xf numFmtId="0" fontId="68" fillId="0" borderId="5" xfId="5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72" fillId="0" borderId="0" xfId="0" applyFont="1" applyAlignment="1">
      <alignment wrapText="1"/>
    </xf>
    <xf numFmtId="0" fontId="68" fillId="0" borderId="0" xfId="5" applyFont="1" applyAlignment="1">
      <alignment vertical="center" wrapText="1"/>
    </xf>
    <xf numFmtId="4" fontId="12" fillId="0" borderId="2" xfId="0" applyNumberFormat="1" applyFont="1" applyFill="1" applyBorder="1" applyAlignment="1" applyProtection="1">
      <alignment horizontal="right" vertical="center" indent="3"/>
    </xf>
    <xf numFmtId="0" fontId="67" fillId="5" borderId="94" xfId="5" applyFont="1" applyFill="1" applyBorder="1" applyAlignment="1">
      <alignment vertical="center" wrapText="1"/>
    </xf>
    <xf numFmtId="0" fontId="68" fillId="8" borderId="31" xfId="5" applyFont="1" applyFill="1" applyBorder="1" applyAlignment="1">
      <alignment horizontal="center" vertical="center"/>
    </xf>
    <xf numFmtId="0" fontId="67" fillId="5" borderId="13" xfId="5" applyFont="1" applyFill="1" applyBorder="1" applyAlignment="1">
      <alignment vertical="center" wrapText="1"/>
    </xf>
    <xf numFmtId="0" fontId="67" fillId="5" borderId="25" xfId="5" applyFont="1" applyFill="1" applyBorder="1" applyAlignment="1">
      <alignment vertical="center" wrapText="1"/>
    </xf>
    <xf numFmtId="49" fontId="69" fillId="3" borderId="3" xfId="5" applyNumberFormat="1" applyFont="1" applyFill="1" applyBorder="1" applyAlignment="1">
      <alignment horizontal="center" vertical="center"/>
    </xf>
    <xf numFmtId="0" fontId="69" fillId="3" borderId="98" xfId="5" applyFont="1" applyFill="1" applyBorder="1" applyAlignment="1">
      <alignment vertical="center" wrapText="1"/>
    </xf>
    <xf numFmtId="49" fontId="69" fillId="3" borderId="25" xfId="5" applyNumberFormat="1" applyFont="1" applyFill="1" applyBorder="1" applyAlignment="1">
      <alignment horizontal="center" vertical="center"/>
    </xf>
    <xf numFmtId="0" fontId="68" fillId="0" borderId="23" xfId="0" applyFont="1" applyBorder="1" applyAlignment="1">
      <alignment horizontal="center" vertical="center"/>
    </xf>
    <xf numFmtId="0" fontId="68" fillId="0" borderId="23" xfId="5" applyFont="1" applyFill="1" applyBorder="1" applyAlignment="1">
      <alignment horizontal="center" vertical="center"/>
    </xf>
    <xf numFmtId="0" fontId="60" fillId="0" borderId="94" xfId="0" applyFont="1" applyBorder="1" applyAlignment="1">
      <alignment vertical="center" wrapText="1"/>
    </xf>
    <xf numFmtId="41" fontId="21" fillId="6" borderId="55" xfId="0" applyNumberFormat="1" applyFont="1" applyFill="1" applyBorder="1" applyAlignment="1">
      <alignment horizontal="right" vertical="center" indent="1"/>
    </xf>
    <xf numFmtId="41" fontId="21" fillId="6" borderId="48" xfId="0" applyNumberFormat="1" applyFont="1" applyFill="1" applyBorder="1" applyAlignment="1">
      <alignment horizontal="right" vertical="center" indent="1"/>
    </xf>
    <xf numFmtId="0" fontId="60" fillId="0" borderId="31" xfId="0" applyFont="1" applyFill="1" applyBorder="1" applyAlignment="1">
      <alignment horizontal="left" vertical="center" indent="1"/>
    </xf>
    <xf numFmtId="0" fontId="61" fillId="0" borderId="70" xfId="0" applyFont="1" applyFill="1" applyBorder="1" applyAlignment="1" applyProtection="1">
      <alignment horizontal="left" vertical="center" wrapText="1" indent="1"/>
      <protection locked="0"/>
    </xf>
    <xf numFmtId="49" fontId="60" fillId="0" borderId="94" xfId="0" applyNumberFormat="1" applyFont="1" applyBorder="1" applyAlignment="1">
      <alignment vertical="center" wrapText="1"/>
    </xf>
    <xf numFmtId="0" fontId="71" fillId="0" borderId="94" xfId="0" applyFont="1" applyBorder="1" applyAlignment="1">
      <alignment vertical="center" wrapText="1"/>
    </xf>
    <xf numFmtId="49" fontId="16" fillId="0" borderId="94" xfId="0" applyNumberFormat="1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0" fontId="16" fillId="0" borderId="94" xfId="0" applyFont="1" applyBorder="1" applyAlignment="1">
      <alignment vertical="center" wrapText="1"/>
    </xf>
    <xf numFmtId="0" fontId="18" fillId="0" borderId="94" xfId="0" applyFont="1" applyBorder="1" applyAlignment="1">
      <alignment vertical="center" wrapText="1"/>
    </xf>
    <xf numFmtId="0" fontId="19" fillId="0" borderId="94" xfId="0" applyFont="1" applyFill="1" applyBorder="1" applyAlignment="1">
      <alignment vertical="center" wrapText="1"/>
    </xf>
    <xf numFmtId="0" fontId="17" fillId="0" borderId="94" xfId="0" applyFont="1" applyBorder="1" applyAlignment="1">
      <alignment vertical="center" wrapText="1"/>
    </xf>
    <xf numFmtId="49" fontId="16" fillId="0" borderId="94" xfId="0" applyNumberFormat="1" applyFont="1" applyBorder="1" applyAlignment="1">
      <alignment horizontal="center" vertical="center"/>
    </xf>
    <xf numFmtId="41" fontId="61" fillId="0" borderId="74" xfId="0" applyNumberFormat="1" applyFont="1" applyBorder="1" applyAlignment="1">
      <alignment horizontal="right" vertical="center"/>
    </xf>
    <xf numFmtId="41" fontId="31" fillId="9" borderId="12" xfId="49" applyNumberFormat="1" applyFont="1" applyFill="1" applyBorder="1" applyAlignment="1">
      <alignment horizontal="right" vertical="center" indent="1"/>
    </xf>
    <xf numFmtId="41" fontId="31" fillId="9" borderId="17" xfId="49" applyNumberFormat="1" applyFont="1" applyFill="1" applyBorder="1" applyAlignment="1">
      <alignment horizontal="right" vertical="center" indent="1"/>
    </xf>
    <xf numFmtId="41" fontId="9" fillId="0" borderId="14" xfId="0" applyNumberFormat="1" applyFont="1" applyBorder="1" applyAlignment="1">
      <alignment horizontal="right" vertical="center" indent="1"/>
    </xf>
    <xf numFmtId="41" fontId="9" fillId="0" borderId="5" xfId="0" applyNumberFormat="1" applyFont="1" applyBorder="1" applyAlignment="1">
      <alignment horizontal="right" vertical="center" indent="1"/>
    </xf>
    <xf numFmtId="0" fontId="9" fillId="0" borderId="13" xfId="0" applyFont="1" applyBorder="1" applyAlignment="1">
      <alignment horizontal="left" vertical="center" wrapText="1"/>
    </xf>
    <xf numFmtId="41" fontId="9" fillId="0" borderId="48" xfId="0" applyNumberFormat="1" applyFont="1" applyBorder="1" applyAlignment="1">
      <alignment horizontal="right" vertical="center" indent="1"/>
    </xf>
    <xf numFmtId="0" fontId="7" fillId="0" borderId="19" xfId="0" applyFont="1" applyBorder="1" applyAlignment="1">
      <alignment horizontal="left" vertical="center" wrapText="1"/>
    </xf>
    <xf numFmtId="41" fontId="7" fillId="0" borderId="12" xfId="0" applyNumberFormat="1" applyFont="1" applyBorder="1" applyAlignment="1">
      <alignment horizontal="right" vertical="center" indent="1"/>
    </xf>
    <xf numFmtId="41" fontId="61" fillId="0" borderId="94" xfId="0" applyNumberFormat="1" applyFont="1" applyBorder="1" applyAlignment="1">
      <alignment horizontal="right" vertical="center"/>
    </xf>
    <xf numFmtId="41" fontId="13" fillId="0" borderId="0" xfId="5" applyNumberFormat="1" applyFont="1" applyAlignment="1">
      <alignment vertical="center"/>
    </xf>
    <xf numFmtId="170" fontId="16" fillId="0" borderId="31" xfId="47" applyNumberFormat="1" applyFont="1" applyFill="1" applyBorder="1" applyAlignment="1">
      <alignment horizontal="center" vertical="center" wrapText="1"/>
    </xf>
    <xf numFmtId="0" fontId="16" fillId="0" borderId="13" xfId="47" applyFont="1" applyFill="1" applyBorder="1" applyAlignment="1">
      <alignment horizontal="left" vertical="center" wrapText="1"/>
    </xf>
    <xf numFmtId="14" fontId="16" fillId="0" borderId="13" xfId="47" applyNumberFormat="1" applyFont="1" applyFill="1" applyBorder="1" applyAlignment="1">
      <alignment horizontal="center" vertical="center" wrapText="1"/>
    </xf>
    <xf numFmtId="0" fontId="16" fillId="0" borderId="13" xfId="47" applyFont="1" applyFill="1" applyBorder="1" applyAlignment="1">
      <alignment horizontal="center" vertical="center" wrapText="1"/>
    </xf>
    <xf numFmtId="171" fontId="16" fillId="0" borderId="14" xfId="47" applyNumberFormat="1" applyFont="1" applyFill="1" applyBorder="1" applyAlignment="1">
      <alignment horizontal="right" vertical="center" wrapText="1" indent="2"/>
    </xf>
    <xf numFmtId="171" fontId="60" fillId="0" borderId="2" xfId="51" applyNumberFormat="1" applyFont="1" applyFill="1" applyBorder="1" applyAlignment="1">
      <alignment horizontal="right" vertical="center" wrapText="1" indent="2"/>
    </xf>
    <xf numFmtId="41" fontId="61" fillId="0" borderId="2" xfId="0" applyNumberFormat="1" applyFont="1" applyFill="1" applyBorder="1" applyAlignment="1" applyProtection="1">
      <alignment horizontal="right" vertical="center" indent="1"/>
      <protection locked="0"/>
    </xf>
    <xf numFmtId="164" fontId="31" fillId="0" borderId="12" xfId="1" applyNumberFormat="1" applyFont="1" applyBorder="1" applyAlignment="1">
      <alignment horizontal="center" vertical="center" wrapText="1"/>
    </xf>
    <xf numFmtId="164" fontId="67" fillId="0" borderId="12" xfId="1" applyNumberFormat="1" applyFont="1" applyBorder="1" applyAlignment="1">
      <alignment horizontal="center" vertical="center" wrapText="1"/>
    </xf>
    <xf numFmtId="164" fontId="60" fillId="0" borderId="94" xfId="1" applyNumberFormat="1" applyFont="1" applyBorder="1" applyAlignment="1">
      <alignment horizontal="right" vertical="center"/>
    </xf>
    <xf numFmtId="164" fontId="60" fillId="0" borderId="94" xfId="1" applyNumberFormat="1" applyFont="1" applyBorder="1" applyAlignment="1">
      <alignment vertical="center"/>
    </xf>
    <xf numFmtId="164" fontId="60" fillId="0" borderId="65" xfId="1" applyNumberFormat="1" applyFont="1" applyBorder="1" applyAlignment="1">
      <alignment horizontal="right" vertical="center"/>
    </xf>
    <xf numFmtId="164" fontId="60" fillId="0" borderId="94" xfId="1" applyNumberFormat="1" applyFont="1" applyFill="1" applyBorder="1" applyAlignment="1">
      <alignment horizontal="right" vertical="center"/>
    </xf>
    <xf numFmtId="164" fontId="33" fillId="0" borderId="0" xfId="1" applyNumberFormat="1" applyFont="1" applyBorder="1" applyAlignment="1">
      <alignment horizontal="right" vertical="center"/>
    </xf>
    <xf numFmtId="164" fontId="7" fillId="0" borderId="0" xfId="1" applyNumberFormat="1" applyFont="1" applyAlignment="1">
      <alignment vertical="center"/>
    </xf>
    <xf numFmtId="164" fontId="32" fillId="0" borderId="0" xfId="1" applyNumberFormat="1" applyFont="1" applyAlignment="1">
      <alignment vertical="center" wrapText="1"/>
    </xf>
    <xf numFmtId="164" fontId="9" fillId="0" borderId="0" xfId="1" applyNumberFormat="1" applyFont="1" applyAlignment="1">
      <alignment vertical="center"/>
    </xf>
    <xf numFmtId="41" fontId="57" fillId="0" borderId="0" xfId="3" applyNumberFormat="1" applyFont="1" applyAlignment="1">
      <alignment vertical="center"/>
    </xf>
    <xf numFmtId="3" fontId="81" fillId="0" borderId="0" xfId="3" applyNumberFormat="1" applyFont="1" applyBorder="1" applyAlignment="1">
      <alignment horizontal="center" vertical="center"/>
    </xf>
    <xf numFmtId="3" fontId="81" fillId="0" borderId="0" xfId="3" applyNumberFormat="1" applyFont="1" applyBorder="1" applyAlignment="1">
      <alignment vertical="center"/>
    </xf>
    <xf numFmtId="3" fontId="81" fillId="0" borderId="0" xfId="3" applyNumberFormat="1" applyFont="1" applyBorder="1" applyAlignment="1">
      <alignment horizontal="center" vertical="center" wrapText="1"/>
    </xf>
    <xf numFmtId="41" fontId="28" fillId="0" borderId="0" xfId="0" applyNumberFormat="1" applyFont="1" applyAlignment="1">
      <alignment vertical="center"/>
    </xf>
    <xf numFmtId="41" fontId="98" fillId="0" borderId="94" xfId="0" applyNumberFormat="1" applyFont="1" applyBorder="1" applyAlignment="1">
      <alignment horizontal="right" vertical="center" indent="1"/>
    </xf>
    <xf numFmtId="41" fontId="97" fillId="0" borderId="94" xfId="0" applyNumberFormat="1" applyFont="1" applyBorder="1" applyAlignment="1">
      <alignment horizontal="right" vertical="center" indent="1"/>
    </xf>
    <xf numFmtId="41" fontId="18" fillId="0" borderId="94" xfId="0" applyNumberFormat="1" applyFont="1" applyFill="1" applyBorder="1" applyAlignment="1">
      <alignment horizontal="right" vertical="center" indent="1"/>
    </xf>
    <xf numFmtId="0" fontId="99" fillId="0" borderId="0" xfId="0" applyFont="1" applyAlignment="1">
      <alignment vertical="center"/>
    </xf>
    <xf numFmtId="0" fontId="60" fillId="0" borderId="0" xfId="0" applyFont="1" applyAlignment="1">
      <alignment vertical="center" wrapText="1"/>
    </xf>
    <xf numFmtId="0" fontId="18" fillId="0" borderId="94" xfId="0" applyFont="1" applyBorder="1" applyAlignment="1">
      <alignment vertical="center"/>
    </xf>
    <xf numFmtId="0" fontId="60" fillId="0" borderId="61" xfId="0" applyFont="1" applyFill="1" applyBorder="1" applyAlignment="1">
      <alignment horizontal="center" vertical="center"/>
    </xf>
    <xf numFmtId="41" fontId="60" fillId="0" borderId="61" xfId="0" applyNumberFormat="1" applyFont="1" applyFill="1" applyBorder="1" applyAlignment="1">
      <alignment horizontal="right" vertical="center" indent="1"/>
    </xf>
    <xf numFmtId="0" fontId="67" fillId="5" borderId="102" xfId="5" applyFont="1" applyFill="1" applyBorder="1" applyAlignment="1">
      <alignment vertical="center" wrapText="1"/>
    </xf>
    <xf numFmtId="0" fontId="68" fillId="0" borderId="102" xfId="5" applyFont="1" applyBorder="1" applyAlignment="1">
      <alignment vertical="center" wrapText="1"/>
    </xf>
    <xf numFmtId="0" fontId="68" fillId="0" borderId="102" xfId="5" applyFont="1" applyFill="1" applyBorder="1" applyAlignment="1">
      <alignment vertical="center" wrapText="1"/>
    </xf>
    <xf numFmtId="0" fontId="62" fillId="0" borderId="102" xfId="0" applyFont="1" applyFill="1" applyBorder="1" applyAlignment="1">
      <alignment horizontal="left" vertical="center" wrapText="1"/>
    </xf>
    <xf numFmtId="41" fontId="16" fillId="0" borderId="99" xfId="0" applyNumberFormat="1" applyFont="1" applyFill="1" applyBorder="1" applyAlignment="1">
      <alignment horizontal="right" vertical="center" indent="1"/>
    </xf>
    <xf numFmtId="41" fontId="28" fillId="0" borderId="102" xfId="0" applyNumberFormat="1" applyFont="1" applyFill="1" applyBorder="1" applyAlignment="1">
      <alignment horizontal="right" vertical="center" indent="1"/>
    </xf>
    <xf numFmtId="0" fontId="71" fillId="0" borderId="102" xfId="0" applyFont="1" applyFill="1" applyBorder="1" applyAlignment="1">
      <alignment vertical="center" wrapText="1"/>
    </xf>
    <xf numFmtId="41" fontId="62" fillId="0" borderId="102" xfId="0" applyNumberFormat="1" applyFont="1" applyFill="1" applyBorder="1" applyAlignment="1" applyProtection="1">
      <alignment horizontal="right" vertical="center"/>
      <protection locked="0"/>
    </xf>
    <xf numFmtId="41" fontId="60" fillId="0" borderId="102" xfId="0" applyNumberFormat="1" applyFont="1" applyBorder="1" applyAlignment="1">
      <alignment horizontal="right" vertical="center"/>
    </xf>
    <xf numFmtId="0" fontId="67" fillId="0" borderId="23" xfId="5" applyFont="1" applyBorder="1" applyAlignment="1">
      <alignment horizontal="center" vertical="center"/>
    </xf>
    <xf numFmtId="0" fontId="67" fillId="0" borderId="95" xfId="5" applyFont="1" applyBorder="1" applyAlignment="1">
      <alignment horizontal="center" vertical="center"/>
    </xf>
    <xf numFmtId="0" fontId="60" fillId="0" borderId="83" xfId="0" applyFont="1" applyBorder="1" applyAlignment="1">
      <alignment horizontal="left" vertical="center" wrapText="1"/>
    </xf>
    <xf numFmtId="0" fontId="31" fillId="0" borderId="83" xfId="0" applyFont="1" applyBorder="1" applyAlignment="1">
      <alignment horizontal="left" vertical="center" wrapText="1"/>
    </xf>
    <xf numFmtId="0" fontId="60" fillId="0" borderId="83" xfId="0" applyFont="1" applyFill="1" applyBorder="1" applyAlignment="1">
      <alignment horizontal="left" vertical="center" wrapText="1"/>
    </xf>
    <xf numFmtId="0" fontId="60" fillId="0" borderId="83" xfId="0" applyFont="1" applyFill="1" applyBorder="1" applyAlignment="1">
      <alignment horizontal="left" vertical="center"/>
    </xf>
    <xf numFmtId="0" fontId="31" fillId="0" borderId="103" xfId="0" applyFont="1" applyBorder="1" applyAlignment="1">
      <alignment horizontal="left" vertical="center" wrapText="1"/>
    </xf>
    <xf numFmtId="164" fontId="60" fillId="0" borderId="94" xfId="1" applyNumberFormat="1" applyFont="1" applyFill="1" applyBorder="1" applyAlignment="1">
      <alignment vertical="center"/>
    </xf>
    <xf numFmtId="41" fontId="54" fillId="0" borderId="102" xfId="3" applyNumberFormat="1" applyFont="1" applyBorder="1" applyAlignment="1">
      <alignment horizontal="right" vertical="center" indent="1"/>
    </xf>
    <xf numFmtId="0" fontId="60" fillId="0" borderId="3" xfId="0" applyFont="1" applyFill="1" applyBorder="1" applyAlignment="1">
      <alignment horizontal="left" vertical="center" wrapText="1" indent="1"/>
    </xf>
    <xf numFmtId="41" fontId="60" fillId="0" borderId="32" xfId="0" applyNumberFormat="1" applyFont="1" applyBorder="1" applyAlignment="1">
      <alignment horizontal="right" vertical="center" indent="1"/>
    </xf>
    <xf numFmtId="41" fontId="60" fillId="0" borderId="32" xfId="0" applyNumberFormat="1" applyFont="1" applyBorder="1"/>
    <xf numFmtId="41" fontId="60" fillId="0" borderId="8" xfId="0" applyNumberFormat="1" applyFont="1" applyBorder="1"/>
    <xf numFmtId="41" fontId="18" fillId="0" borderId="102" xfId="0" applyNumberFormat="1" applyFont="1" applyBorder="1" applyAlignment="1">
      <alignment horizontal="right" vertical="center" indent="1"/>
    </xf>
    <xf numFmtId="41" fontId="28" fillId="0" borderId="102" xfId="0" applyNumberFormat="1" applyFont="1" applyBorder="1" applyAlignment="1">
      <alignment horizontal="right" vertical="center" indent="1"/>
    </xf>
    <xf numFmtId="49" fontId="28" fillId="0" borderId="102" xfId="0" applyNumberFormat="1" applyFont="1" applyBorder="1" applyAlignment="1">
      <alignment horizontal="center" vertical="center"/>
    </xf>
    <xf numFmtId="49" fontId="31" fillId="0" borderId="102" xfId="0" applyNumberFormat="1" applyFont="1" applyBorder="1" applyAlignment="1">
      <alignment horizontal="left" vertical="center" wrapText="1"/>
    </xf>
    <xf numFmtId="41" fontId="17" fillId="0" borderId="102" xfId="0" applyNumberFormat="1" applyFont="1" applyBorder="1" applyAlignment="1">
      <alignment horizontal="right" vertical="center" indent="1"/>
    </xf>
    <xf numFmtId="0" fontId="2" fillId="0" borderId="0" xfId="4"/>
    <xf numFmtId="0" fontId="31" fillId="0" borderId="36" xfId="4" applyFont="1" applyFill="1" applyBorder="1" applyAlignment="1">
      <alignment horizontal="center" vertical="center" wrapText="1"/>
    </xf>
    <xf numFmtId="0" fontId="31" fillId="0" borderId="29" xfId="4" applyFont="1" applyFill="1" applyBorder="1" applyAlignment="1">
      <alignment horizontal="center" vertical="center" wrapText="1"/>
    </xf>
    <xf numFmtId="0" fontId="31" fillId="0" borderId="18" xfId="4" applyFont="1" applyFill="1" applyBorder="1" applyAlignment="1">
      <alignment horizontal="center" vertical="center" wrapText="1"/>
    </xf>
    <xf numFmtId="0" fontId="2" fillId="0" borderId="0" xfId="4" applyFont="1" applyFill="1"/>
    <xf numFmtId="170" fontId="60" fillId="0" borderId="25" xfId="4" applyNumberFormat="1" applyFont="1" applyFill="1" applyBorder="1" applyAlignment="1">
      <alignment horizontal="center" vertical="center" wrapText="1"/>
    </xf>
    <xf numFmtId="0" fontId="60" fillId="0" borderId="102" xfId="4" applyFont="1" applyFill="1" applyBorder="1" applyAlignment="1">
      <alignment horizontal="left" vertical="center" wrapText="1"/>
    </xf>
    <xf numFmtId="14" fontId="60" fillId="0" borderId="102" xfId="4" applyNumberFormat="1" applyFont="1" applyFill="1" applyBorder="1" applyAlignment="1">
      <alignment horizontal="center" vertical="center" wrapText="1"/>
    </xf>
    <xf numFmtId="171" fontId="60" fillId="0" borderId="2" xfId="4" applyNumberFormat="1" applyFont="1" applyFill="1" applyBorder="1" applyAlignment="1">
      <alignment horizontal="right" vertical="center" wrapText="1" indent="2"/>
    </xf>
    <xf numFmtId="6" fontId="60" fillId="0" borderId="102" xfId="4" applyNumberFormat="1" applyFont="1" applyFill="1" applyBorder="1" applyAlignment="1">
      <alignment horizontal="center" vertical="center" wrapText="1"/>
    </xf>
    <xf numFmtId="14" fontId="60" fillId="0" borderId="102" xfId="4" applyNumberFormat="1" applyFont="1" applyFill="1" applyBorder="1" applyAlignment="1">
      <alignment horizontal="left" vertical="center" wrapText="1"/>
    </xf>
    <xf numFmtId="0" fontId="96" fillId="0" borderId="0" xfId="4" applyFont="1"/>
    <xf numFmtId="0" fontId="96" fillId="0" borderId="0" xfId="4" applyFont="1" applyFill="1"/>
    <xf numFmtId="0" fontId="2" fillId="0" borderId="0" xfId="4" applyFill="1"/>
    <xf numFmtId="6" fontId="60" fillId="0" borderId="2" xfId="4" applyNumberFormat="1" applyFont="1" applyFill="1" applyBorder="1" applyAlignment="1">
      <alignment horizontal="center" vertical="center" wrapText="1"/>
    </xf>
    <xf numFmtId="0" fontId="60" fillId="0" borderId="15" xfId="4" applyFont="1" applyFill="1" applyBorder="1" applyAlignment="1">
      <alignment horizontal="left" vertical="center" wrapText="1"/>
    </xf>
    <xf numFmtId="0" fontId="62" fillId="0" borderId="0" xfId="4" applyFont="1" applyFill="1" applyBorder="1" applyAlignment="1">
      <alignment horizontal="left" vertical="center"/>
    </xf>
    <xf numFmtId="0" fontId="62" fillId="0" borderId="0" xfId="4" applyFont="1" applyFill="1" applyBorder="1" applyAlignment="1">
      <alignment horizontal="center" vertical="center"/>
    </xf>
    <xf numFmtId="0" fontId="2" fillId="28" borderId="0" xfId="4" applyFill="1"/>
    <xf numFmtId="167" fontId="60" fillId="0" borderId="102" xfId="50" applyNumberFormat="1" applyFont="1" applyFill="1" applyBorder="1" applyAlignment="1" applyProtection="1">
      <alignment vertical="center"/>
      <protection locked="0"/>
    </xf>
    <xf numFmtId="3" fontId="91" fillId="0" borderId="102" xfId="3" applyNumberFormat="1" applyFont="1" applyBorder="1" applyAlignment="1">
      <alignment horizontal="right" vertical="center" indent="1"/>
    </xf>
    <xf numFmtId="3" fontId="9" fillId="9" borderId="52" xfId="0" applyNumberFormat="1" applyFont="1" applyFill="1" applyBorder="1" applyAlignment="1">
      <alignment horizontal="right" vertical="center" indent="1"/>
    </xf>
    <xf numFmtId="3" fontId="90" fillId="0" borderId="12" xfId="0" applyNumberFormat="1" applyFont="1" applyBorder="1" applyAlignment="1">
      <alignment horizontal="center" vertical="center"/>
    </xf>
    <xf numFmtId="41" fontId="17" fillId="0" borderId="99" xfId="0" applyNumberFormat="1" applyFont="1" applyFill="1" applyBorder="1" applyAlignment="1">
      <alignment horizontal="right" vertical="center" indent="1"/>
    </xf>
    <xf numFmtId="49" fontId="60" fillId="0" borderId="102" xfId="0" applyNumberFormat="1" applyFont="1" applyFill="1" applyBorder="1" applyAlignment="1">
      <alignment horizontal="left" vertical="center" wrapText="1"/>
    </xf>
    <xf numFmtId="41" fontId="27" fillId="0" borderId="102" xfId="0" applyNumberFormat="1" applyFont="1" applyFill="1" applyBorder="1" applyAlignment="1">
      <alignment horizontal="right" vertical="center" indent="1"/>
    </xf>
    <xf numFmtId="0" fontId="9" fillId="0" borderId="102" xfId="0" applyFont="1" applyBorder="1" applyAlignment="1">
      <alignment horizontal="left" vertical="center" wrapText="1"/>
    </xf>
    <xf numFmtId="41" fontId="9" fillId="0" borderId="99" xfId="0" applyNumberFormat="1" applyFont="1" applyBorder="1" applyAlignment="1">
      <alignment horizontal="right" vertical="center" indent="1"/>
    </xf>
    <xf numFmtId="0" fontId="7" fillId="0" borderId="102" xfId="0" applyFont="1" applyBorder="1" applyAlignment="1">
      <alignment horizontal="left" vertical="center" wrapText="1"/>
    </xf>
    <xf numFmtId="41" fontId="7" fillId="0" borderId="99" xfId="0" applyNumberFormat="1" applyFont="1" applyBorder="1" applyAlignment="1">
      <alignment horizontal="right" vertical="center" indent="1"/>
    </xf>
    <xf numFmtId="0" fontId="9" fillId="0" borderId="104" xfId="0" applyFont="1" applyBorder="1" applyAlignment="1">
      <alignment horizontal="left" vertical="center" wrapText="1"/>
    </xf>
    <xf numFmtId="41" fontId="9" fillId="0" borderId="105" xfId="0" applyNumberFormat="1" applyFont="1" applyBorder="1" applyAlignment="1">
      <alignment horizontal="right" vertical="center" indent="1"/>
    </xf>
    <xf numFmtId="41" fontId="9" fillId="0" borderId="104" xfId="0" applyNumberFormat="1" applyFont="1" applyBorder="1" applyAlignment="1">
      <alignment horizontal="center" vertical="center"/>
    </xf>
    <xf numFmtId="41" fontId="9" fillId="0" borderId="106" xfId="0" applyNumberFormat="1" applyFont="1" applyBorder="1" applyAlignment="1">
      <alignment horizontal="right" vertical="center" indent="1"/>
    </xf>
    <xf numFmtId="0" fontId="12" fillId="0" borderId="102" xfId="0" applyFont="1" applyBorder="1" applyAlignment="1">
      <alignment horizontal="left" vertical="center" wrapText="1"/>
    </xf>
    <xf numFmtId="41" fontId="12" fillId="0" borderId="99" xfId="0" applyNumberFormat="1" applyFont="1" applyBorder="1" applyAlignment="1">
      <alignment horizontal="right" vertical="center" indent="1"/>
    </xf>
    <xf numFmtId="0" fontId="89" fillId="0" borderId="102" xfId="0" applyFont="1" applyBorder="1" applyAlignment="1">
      <alignment horizontal="left" vertical="center" wrapText="1"/>
    </xf>
    <xf numFmtId="41" fontId="89" fillId="0" borderId="99" xfId="0" applyNumberFormat="1" applyFont="1" applyBorder="1" applyAlignment="1">
      <alignment horizontal="right" vertical="center" indent="1"/>
    </xf>
    <xf numFmtId="0" fontId="12" fillId="0" borderId="104" xfId="0" applyFont="1" applyBorder="1" applyAlignment="1">
      <alignment horizontal="left" vertical="center" wrapText="1"/>
    </xf>
    <xf numFmtId="41" fontId="12" fillId="0" borderId="105" xfId="0" applyNumberFormat="1" applyFont="1" applyBorder="1" applyAlignment="1">
      <alignment horizontal="right" vertical="center" indent="1"/>
    </xf>
    <xf numFmtId="41" fontId="12" fillId="0" borderId="104" xfId="0" applyNumberFormat="1" applyFont="1" applyBorder="1" applyAlignment="1">
      <alignment horizontal="center" vertical="center"/>
    </xf>
    <xf numFmtId="41" fontId="12" fillId="0" borderId="106" xfId="0" applyNumberFormat="1" applyFont="1" applyBorder="1" applyAlignment="1">
      <alignment horizontal="right" vertical="center" indent="1"/>
    </xf>
    <xf numFmtId="41" fontId="9" fillId="0" borderId="104" xfId="0" applyNumberFormat="1" applyFont="1" applyBorder="1" applyAlignment="1">
      <alignment horizontal="right" vertical="center" indent="1"/>
    </xf>
    <xf numFmtId="41" fontId="9" fillId="0" borderId="102" xfId="0" applyNumberFormat="1" applyFont="1" applyBorder="1" applyAlignment="1">
      <alignment horizontal="right" vertical="center" indent="1"/>
    </xf>
    <xf numFmtId="41" fontId="7" fillId="0" borderId="49" xfId="0" applyNumberFormat="1" applyFont="1" applyBorder="1" applyAlignment="1">
      <alignment horizontal="right" vertical="center" indent="1"/>
    </xf>
    <xf numFmtId="41" fontId="7" fillId="0" borderId="102" xfId="0" applyNumberFormat="1" applyFont="1" applyBorder="1" applyAlignment="1">
      <alignment horizontal="right" vertical="center" indent="1"/>
    </xf>
    <xf numFmtId="0" fontId="52" fillId="0" borderId="24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79" fillId="0" borderId="24" xfId="0" applyFont="1" applyBorder="1" applyAlignment="1">
      <alignment horizontal="center" vertical="center"/>
    </xf>
    <xf numFmtId="0" fontId="79" fillId="0" borderId="0" xfId="5" applyFont="1" applyBorder="1" applyAlignment="1">
      <alignment horizontal="center" vertical="center" wrapText="1"/>
    </xf>
    <xf numFmtId="0" fontId="80" fillId="0" borderId="0" xfId="0" applyFont="1" applyBorder="1" applyAlignme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0" xfId="5" applyFont="1" applyBorder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3" fontId="54" fillId="0" borderId="0" xfId="3" applyNumberFormat="1" applyFont="1" applyBorder="1" applyAlignment="1">
      <alignment horizontal="right"/>
    </xf>
    <xf numFmtId="49" fontId="22" fillId="0" borderId="2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1" fontId="20" fillId="0" borderId="98" xfId="0" applyNumberFormat="1" applyFont="1" applyBorder="1" applyAlignment="1">
      <alignment horizontal="right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53" fillId="0" borderId="0" xfId="0" applyFont="1" applyAlignment="1">
      <alignment horizontal="right"/>
    </xf>
    <xf numFmtId="41" fontId="7" fillId="25" borderId="107" xfId="0" applyNumberFormat="1" applyFont="1" applyFill="1" applyBorder="1" applyAlignment="1">
      <alignment horizontal="center" vertical="center" wrapText="1"/>
    </xf>
    <xf numFmtId="0" fontId="53" fillId="0" borderId="24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3" fontId="53" fillId="0" borderId="0" xfId="0" applyNumberFormat="1" applyFont="1" applyBorder="1" applyAlignment="1">
      <alignment horizontal="right"/>
    </xf>
    <xf numFmtId="0" fontId="31" fillId="0" borderId="0" xfId="0" applyFont="1" applyFill="1" applyAlignment="1">
      <alignment horizontal="right" vertical="center"/>
    </xf>
    <xf numFmtId="167" fontId="53" fillId="0" borderId="0" xfId="0" applyNumberFormat="1" applyFont="1" applyFill="1" applyAlignment="1">
      <alignment horizontal="right"/>
    </xf>
    <xf numFmtId="3" fontId="101" fillId="0" borderId="0" xfId="3" applyNumberFormat="1" applyFont="1" applyBorder="1" applyAlignment="1">
      <alignment horizontal="right"/>
    </xf>
    <xf numFmtId="164" fontId="61" fillId="0" borderId="94" xfId="1" applyNumberFormat="1" applyFont="1" applyBorder="1" applyAlignment="1">
      <alignment horizontal="right" vertical="center"/>
    </xf>
    <xf numFmtId="164" fontId="61" fillId="0" borderId="94" xfId="1" applyNumberFormat="1" applyFont="1" applyBorder="1" applyAlignment="1">
      <alignment vertical="center"/>
    </xf>
    <xf numFmtId="41" fontId="61" fillId="0" borderId="2" xfId="5" applyNumberFormat="1" applyFont="1" applyBorder="1" applyAlignment="1">
      <alignment vertical="center"/>
    </xf>
    <xf numFmtId="164" fontId="74" fillId="0" borderId="94" xfId="1" applyNumberFormat="1" applyFont="1" applyBorder="1" applyAlignment="1">
      <alignment horizontal="right" vertical="center"/>
    </xf>
    <xf numFmtId="41" fontId="74" fillId="0" borderId="2" xfId="1" applyNumberFormat="1" applyFont="1" applyBorder="1" applyAlignment="1">
      <alignment horizontal="right" vertical="center"/>
    </xf>
    <xf numFmtId="164" fontId="60" fillId="25" borderId="94" xfId="1" applyNumberFormat="1" applyFont="1" applyFill="1" applyBorder="1" applyAlignment="1">
      <alignment horizontal="right" vertical="center"/>
    </xf>
    <xf numFmtId="164" fontId="60" fillId="0" borderId="94" xfId="1" applyNumberFormat="1" applyFont="1" applyBorder="1" applyAlignment="1">
      <alignment horizontal="center" vertical="center" wrapText="1"/>
    </xf>
    <xf numFmtId="164" fontId="60" fillId="0" borderId="94" xfId="1" applyNumberFormat="1" applyFont="1" applyBorder="1" applyAlignment="1">
      <alignment horizontal="center" vertical="center"/>
    </xf>
    <xf numFmtId="41" fontId="60" fillId="0" borderId="69" xfId="5" applyNumberFormat="1" applyFont="1" applyBorder="1" applyAlignment="1">
      <alignment horizontal="right" vertical="center"/>
    </xf>
    <xf numFmtId="41" fontId="60" fillId="0" borderId="67" xfId="5" applyNumberFormat="1" applyFont="1" applyBorder="1" applyAlignment="1">
      <alignment horizontal="right" vertical="center"/>
    </xf>
    <xf numFmtId="41" fontId="60" fillId="0" borderId="2" xfId="1" applyNumberFormat="1" applyFont="1" applyBorder="1" applyAlignment="1">
      <alignment horizontal="right" vertical="center"/>
    </xf>
    <xf numFmtId="164" fontId="31" fillId="0" borderId="102" xfId="1" applyNumberFormat="1" applyFont="1" applyBorder="1" applyAlignment="1">
      <alignment horizontal="right" vertical="center"/>
    </xf>
    <xf numFmtId="164" fontId="60" fillId="0" borderId="102" xfId="1" applyNumberFormat="1" applyFont="1" applyFill="1" applyBorder="1" applyAlignment="1">
      <alignment horizontal="right" vertical="center"/>
    </xf>
    <xf numFmtId="164" fontId="31" fillId="25" borderId="102" xfId="1" applyNumberFormat="1" applyFont="1" applyFill="1" applyBorder="1" applyAlignment="1">
      <alignment horizontal="right" vertical="center"/>
    </xf>
    <xf numFmtId="164" fontId="31" fillId="0" borderId="15" xfId="1" applyNumberFormat="1" applyFont="1" applyFill="1" applyBorder="1" applyAlignment="1">
      <alignment horizontal="right" vertical="center"/>
    </xf>
    <xf numFmtId="164" fontId="69" fillId="9" borderId="12" xfId="1" applyNumberFormat="1" applyFont="1" applyFill="1" applyBorder="1" applyAlignment="1">
      <alignment horizontal="right" vertical="center"/>
    </xf>
    <xf numFmtId="0" fontId="60" fillId="0" borderId="72" xfId="0" applyFont="1" applyBorder="1" applyAlignment="1">
      <alignment horizontal="center" vertical="center"/>
    </xf>
    <xf numFmtId="0" fontId="60" fillId="0" borderId="1" xfId="0" applyFont="1" applyFill="1" applyBorder="1" applyAlignment="1">
      <alignment horizontal="left" vertical="center" indent="1"/>
    </xf>
    <xf numFmtId="41" fontId="60" fillId="0" borderId="5" xfId="0" applyNumberFormat="1" applyFont="1" applyBorder="1" applyAlignment="1">
      <alignment horizontal="right" vertical="center" indent="1"/>
    </xf>
    <xf numFmtId="41" fontId="60" fillId="0" borderId="6" xfId="0" applyNumberFormat="1" applyFont="1" applyBorder="1"/>
    <xf numFmtId="41" fontId="60" fillId="25" borderId="94" xfId="1" applyNumberFormat="1" applyFont="1" applyFill="1" applyBorder="1" applyAlignment="1">
      <alignment horizontal="right" vertical="center" indent="1"/>
    </xf>
    <xf numFmtId="41" fontId="60" fillId="0" borderId="94" xfId="1" applyNumberFormat="1" applyFont="1" applyFill="1" applyBorder="1" applyAlignment="1">
      <alignment horizontal="right" vertical="center" indent="1"/>
    </xf>
    <xf numFmtId="41" fontId="31" fillId="0" borderId="2" xfId="5" applyNumberFormat="1" applyFont="1" applyBorder="1" applyAlignment="1">
      <alignment horizontal="right" vertical="center"/>
    </xf>
    <xf numFmtId="0" fontId="71" fillId="0" borderId="102" xfId="0" applyFont="1" applyBorder="1" applyAlignment="1">
      <alignment vertical="center" wrapText="1"/>
    </xf>
    <xf numFmtId="14" fontId="0" fillId="0" borderId="102" xfId="0" applyNumberFormat="1" applyFont="1" applyBorder="1" applyAlignment="1">
      <alignment horizontal="center" vertical="center"/>
    </xf>
    <xf numFmtId="14" fontId="0" fillId="0" borderId="10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2" xfId="0" applyFont="1" applyBorder="1" applyAlignment="1">
      <alignment horizontal="center" vertical="center"/>
    </xf>
    <xf numFmtId="0" fontId="0" fillId="0" borderId="102" xfId="0" applyFont="1" applyFill="1" applyBorder="1" applyAlignment="1">
      <alignment horizontal="center" vertical="center"/>
    </xf>
    <xf numFmtId="0" fontId="0" fillId="0" borderId="102" xfId="0" applyFont="1" applyBorder="1" applyAlignment="1">
      <alignment horizontal="center" vertical="center" wrapText="1"/>
    </xf>
    <xf numFmtId="0" fontId="0" fillId="0" borderId="102" xfId="0" applyBorder="1" applyAlignment="1">
      <alignment horizontal="center"/>
    </xf>
    <xf numFmtId="0" fontId="2" fillId="0" borderId="102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4" applyBorder="1"/>
    <xf numFmtId="0" fontId="60" fillId="0" borderId="25" xfId="4" applyFont="1" applyFill="1" applyBorder="1" applyAlignment="1">
      <alignment horizontal="left" vertical="center" wrapText="1"/>
    </xf>
    <xf numFmtId="0" fontId="60" fillId="0" borderId="27" xfId="4" applyFont="1" applyFill="1" applyBorder="1" applyAlignment="1">
      <alignment horizontal="left" vertical="center" wrapText="1"/>
    </xf>
    <xf numFmtId="14" fontId="0" fillId="0" borderId="15" xfId="0" applyNumberForma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6" fillId="0" borderId="5" xfId="47" applyFont="1" applyFill="1" applyBorder="1" applyAlignment="1">
      <alignment horizontal="left" vertical="center" wrapText="1"/>
    </xf>
    <xf numFmtId="14" fontId="16" fillId="0" borderId="5" xfId="47" applyNumberFormat="1" applyFont="1" applyFill="1" applyBorder="1" applyAlignment="1">
      <alignment horizontal="center" vertical="center" wrapText="1"/>
    </xf>
    <xf numFmtId="0" fontId="16" fillId="0" borderId="5" xfId="47" applyFont="1" applyFill="1" applyBorder="1" applyAlignment="1">
      <alignment horizontal="center" vertical="center" wrapText="1"/>
    </xf>
    <xf numFmtId="171" fontId="16" fillId="0" borderId="6" xfId="47" applyNumberFormat="1" applyFont="1" applyFill="1" applyBorder="1" applyAlignment="1">
      <alignment horizontal="right" vertical="center" wrapText="1" indent="2"/>
    </xf>
    <xf numFmtId="49" fontId="16" fillId="0" borderId="1" xfId="47" applyNumberFormat="1" applyFont="1" applyFill="1" applyBorder="1" applyAlignment="1">
      <alignment horizontal="center" vertical="center" wrapText="1"/>
    </xf>
    <xf numFmtId="0" fontId="31" fillId="0" borderId="94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49" fontId="53" fillId="0" borderId="4" xfId="0" applyNumberFormat="1" applyFont="1" applyBorder="1" applyAlignment="1">
      <alignment horizontal="center" vertical="center" wrapText="1"/>
    </xf>
    <xf numFmtId="41" fontId="7" fillId="0" borderId="52" xfId="0" applyNumberFormat="1" applyFont="1" applyBorder="1" applyAlignment="1">
      <alignment horizontal="center" vertical="center" wrapText="1"/>
    </xf>
    <xf numFmtId="0" fontId="73" fillId="0" borderId="12" xfId="0" applyFont="1" applyBorder="1" applyAlignment="1">
      <alignment horizontal="center" vertical="center" wrapText="1"/>
    </xf>
    <xf numFmtId="0" fontId="73" fillId="0" borderId="17" xfId="0" applyFont="1" applyBorder="1" applyAlignment="1">
      <alignment horizontal="center" vertical="center" wrapText="1"/>
    </xf>
    <xf numFmtId="0" fontId="67" fillId="0" borderId="94" xfId="5" applyFont="1" applyBorder="1" applyAlignment="1">
      <alignment vertical="center" wrapText="1"/>
    </xf>
    <xf numFmtId="164" fontId="31" fillId="0" borderId="94" xfId="1" applyNumberFormat="1" applyFont="1" applyBorder="1" applyAlignment="1">
      <alignment horizontal="right" vertical="center"/>
    </xf>
    <xf numFmtId="0" fontId="67" fillId="0" borderId="1" xfId="5" applyFont="1" applyBorder="1" applyAlignment="1">
      <alignment horizontal="center" vertical="center"/>
    </xf>
    <xf numFmtId="0" fontId="67" fillId="0" borderId="63" xfId="5" applyFont="1" applyBorder="1" applyAlignment="1">
      <alignment vertical="center" wrapText="1"/>
    </xf>
    <xf numFmtId="164" fontId="31" fillId="0" borderId="94" xfId="1" applyNumberFormat="1" applyFont="1" applyBorder="1" applyAlignment="1">
      <alignment horizontal="center" vertical="center"/>
    </xf>
    <xf numFmtId="0" fontId="68" fillId="0" borderId="108" xfId="5" applyFont="1" applyBorder="1" applyAlignment="1">
      <alignment horizontal="center" vertical="center"/>
    </xf>
    <xf numFmtId="0" fontId="67" fillId="0" borderId="3" xfId="5" applyFont="1" applyBorder="1" applyAlignment="1">
      <alignment horizontal="center" vertical="center"/>
    </xf>
    <xf numFmtId="164" fontId="31" fillId="0" borderId="70" xfId="1" applyNumberFormat="1" applyFont="1" applyBorder="1" applyAlignment="1">
      <alignment horizontal="right" vertical="center"/>
    </xf>
    <xf numFmtId="164" fontId="31" fillId="0" borderId="65" xfId="1" applyNumberFormat="1" applyFont="1" applyBorder="1" applyAlignment="1">
      <alignment horizontal="right" vertical="center"/>
    </xf>
    <xf numFmtId="41" fontId="31" fillId="0" borderId="67" xfId="5" applyNumberFormat="1" applyFont="1" applyBorder="1" applyAlignment="1">
      <alignment horizontal="right" vertical="center"/>
    </xf>
    <xf numFmtId="0" fontId="67" fillId="0" borderId="64" xfId="5" applyFont="1" applyBorder="1" applyAlignment="1">
      <alignment vertical="center" wrapText="1"/>
    </xf>
    <xf numFmtId="41" fontId="60" fillId="0" borderId="2" xfId="0" applyNumberFormat="1" applyFont="1" applyBorder="1" applyAlignment="1">
      <alignment vertical="center"/>
    </xf>
    <xf numFmtId="0" fontId="67" fillId="0" borderId="3" xfId="0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41" fontId="60" fillId="0" borderId="2" xfId="5" applyNumberFormat="1" applyFont="1" applyFill="1" applyBorder="1" applyAlignment="1">
      <alignment vertical="center"/>
    </xf>
    <xf numFmtId="0" fontId="60" fillId="0" borderId="63" xfId="5" applyFont="1" applyBorder="1" applyAlignment="1">
      <alignment vertical="center" wrapText="1"/>
    </xf>
    <xf numFmtId="0" fontId="60" fillId="0" borderId="94" xfId="5" applyFont="1" applyBorder="1" applyAlignment="1">
      <alignment vertical="center" wrapText="1"/>
    </xf>
    <xf numFmtId="0" fontId="67" fillId="0" borderId="23" xfId="5" applyFont="1" applyFill="1" applyBorder="1" applyAlignment="1">
      <alignment horizontal="center" vertical="center"/>
    </xf>
    <xf numFmtId="0" fontId="31" fillId="0" borderId="94" xfId="5" applyFont="1" applyBorder="1" applyAlignment="1">
      <alignment vertical="center" wrapText="1"/>
    </xf>
    <xf numFmtId="164" fontId="31" fillId="0" borderId="94" xfId="1" applyNumberFormat="1" applyFont="1" applyFill="1" applyBorder="1" applyAlignment="1">
      <alignment horizontal="right" vertical="center"/>
    </xf>
    <xf numFmtId="41" fontId="31" fillId="0" borderId="2" xfId="5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vertical="center"/>
    </xf>
    <xf numFmtId="0" fontId="67" fillId="0" borderId="1" xfId="5" applyFont="1" applyFill="1" applyBorder="1" applyAlignment="1">
      <alignment horizontal="center" vertical="center"/>
    </xf>
    <xf numFmtId="0" fontId="68" fillId="0" borderId="108" xfId="5" applyFont="1" applyFill="1" applyBorder="1" applyAlignment="1">
      <alignment horizontal="center" vertical="center"/>
    </xf>
    <xf numFmtId="0" fontId="67" fillId="0" borderId="3" xfId="5" applyFont="1" applyFill="1" applyBorder="1" applyAlignment="1">
      <alignment horizontal="center" vertical="center"/>
    </xf>
    <xf numFmtId="0" fontId="31" fillId="0" borderId="102" xfId="0" applyFont="1" applyBorder="1" applyAlignment="1">
      <alignment horizontal="left" vertical="center" wrapText="1"/>
    </xf>
    <xf numFmtId="0" fontId="85" fillId="0" borderId="0" xfId="5" applyFont="1" applyAlignment="1">
      <alignment vertical="center"/>
    </xf>
    <xf numFmtId="0" fontId="31" fillId="0" borderId="15" xfId="0" applyFont="1" applyBorder="1" applyAlignment="1">
      <alignment horizontal="left" vertical="center" wrapText="1"/>
    </xf>
    <xf numFmtId="164" fontId="31" fillId="0" borderId="15" xfId="1" applyNumberFormat="1" applyFont="1" applyBorder="1" applyAlignment="1">
      <alignment horizontal="right" vertical="center"/>
    </xf>
    <xf numFmtId="41" fontId="31" fillId="0" borderId="16" xfId="5" applyNumberFormat="1" applyFont="1" applyBorder="1" applyAlignment="1">
      <alignment horizontal="right" vertical="center"/>
    </xf>
    <xf numFmtId="0" fontId="67" fillId="0" borderId="34" xfId="5" applyFont="1" applyBorder="1" applyAlignment="1">
      <alignment horizontal="center" vertical="center"/>
    </xf>
    <xf numFmtId="0" fontId="67" fillId="0" borderId="102" xfId="5" applyFont="1" applyBorder="1" applyAlignment="1">
      <alignment vertical="center" wrapText="1"/>
    </xf>
    <xf numFmtId="41" fontId="85" fillId="0" borderId="0" xfId="5" applyNumberFormat="1" applyFont="1" applyAlignment="1">
      <alignment vertical="center"/>
    </xf>
    <xf numFmtId="0" fontId="68" fillId="5" borderId="25" xfId="5" applyFont="1" applyFill="1" applyBorder="1" applyAlignment="1">
      <alignment horizontal="center" vertical="center" wrapText="1"/>
    </xf>
    <xf numFmtId="164" fontId="60" fillId="0" borderId="102" xfId="1" applyNumberFormat="1" applyFont="1" applyBorder="1" applyAlignment="1">
      <alignment horizontal="right" vertical="center"/>
    </xf>
    <xf numFmtId="0" fontId="60" fillId="0" borderId="104" xfId="0" applyFont="1" applyBorder="1" applyAlignment="1">
      <alignment horizontal="left" vertical="center" wrapText="1"/>
    </xf>
    <xf numFmtId="164" fontId="74" fillId="0" borderId="104" xfId="1" applyNumberFormat="1" applyFont="1" applyBorder="1" applyAlignment="1">
      <alignment horizontal="right" vertical="center"/>
    </xf>
    <xf numFmtId="41" fontId="74" fillId="0" borderId="106" xfId="1" applyNumberFormat="1" applyFont="1" applyBorder="1" applyAlignment="1">
      <alignment horizontal="right" vertical="center"/>
    </xf>
    <xf numFmtId="0" fontId="60" fillId="0" borderId="72" xfId="0" applyFont="1" applyBorder="1" applyAlignment="1">
      <alignment horizontal="left" vertical="center" wrapText="1"/>
    </xf>
    <xf numFmtId="0" fontId="68" fillId="0" borderId="104" xfId="5" applyFont="1" applyBorder="1" applyAlignment="1">
      <alignment horizontal="center" vertical="center"/>
    </xf>
    <xf numFmtId="0" fontId="68" fillId="0" borderId="32" xfId="5" applyFont="1" applyBorder="1" applyAlignment="1">
      <alignment horizontal="center" vertical="center"/>
    </xf>
    <xf numFmtId="0" fontId="67" fillId="0" borderId="5" xfId="5" applyFont="1" applyBorder="1" applyAlignment="1">
      <alignment horizontal="center" vertical="center"/>
    </xf>
    <xf numFmtId="41" fontId="67" fillId="0" borderId="94" xfId="1" applyNumberFormat="1" applyFont="1" applyBorder="1" applyAlignment="1">
      <alignment horizontal="right" vertical="center" indent="1"/>
    </xf>
    <xf numFmtId="0" fontId="67" fillId="0" borderId="0" xfId="5" applyFont="1" applyAlignment="1">
      <alignment vertical="center"/>
    </xf>
    <xf numFmtId="41" fontId="67" fillId="25" borderId="94" xfId="1" applyNumberFormat="1" applyFont="1" applyFill="1" applyBorder="1" applyAlignment="1">
      <alignment horizontal="right" vertical="center" indent="1"/>
    </xf>
    <xf numFmtId="0" fontId="68" fillId="0" borderId="104" xfId="5" applyFont="1" applyFill="1" applyBorder="1" applyAlignment="1">
      <alignment horizontal="center" vertical="center"/>
    </xf>
    <xf numFmtId="0" fontId="68" fillId="0" borderId="32" xfId="5" applyFont="1" applyFill="1" applyBorder="1" applyAlignment="1">
      <alignment horizontal="center" vertical="center"/>
    </xf>
    <xf numFmtId="0" fontId="68" fillId="0" borderId="5" xfId="5" applyFont="1" applyFill="1" applyBorder="1" applyAlignment="1">
      <alignment horizontal="center" vertical="center"/>
    </xf>
    <xf numFmtId="0" fontId="68" fillId="9" borderId="94" xfId="5" applyFont="1" applyFill="1" applyBorder="1" applyAlignment="1">
      <alignment horizontal="center" vertical="center"/>
    </xf>
    <xf numFmtId="41" fontId="31" fillId="9" borderId="94" xfId="1" applyNumberFormat="1" applyFont="1" applyFill="1" applyBorder="1" applyAlignment="1">
      <alignment horizontal="right" vertical="center" indent="1"/>
    </xf>
    <xf numFmtId="0" fontId="68" fillId="0" borderId="5" xfId="5" applyFont="1" applyBorder="1" applyAlignment="1">
      <alignment horizontal="center" vertical="center"/>
    </xf>
    <xf numFmtId="0" fontId="60" fillId="0" borderId="108" xfId="0" applyFont="1" applyFill="1" applyBorder="1" applyAlignment="1">
      <alignment horizontal="center" vertical="center"/>
    </xf>
    <xf numFmtId="41" fontId="68" fillId="0" borderId="74" xfId="0" applyNumberFormat="1" applyFont="1" applyBorder="1" applyAlignment="1">
      <alignment horizontal="right" vertical="center"/>
    </xf>
    <xf numFmtId="41" fontId="60" fillId="0" borderId="13" xfId="0" applyNumberFormat="1" applyFont="1" applyBorder="1" applyAlignment="1">
      <alignment vertical="center"/>
    </xf>
    <xf numFmtId="41" fontId="60" fillId="0" borderId="14" xfId="0" applyNumberFormat="1" applyFont="1" applyBorder="1" applyAlignment="1">
      <alignment vertical="center"/>
    </xf>
    <xf numFmtId="49" fontId="31" fillId="0" borderId="5" xfId="0" applyNumberFormat="1" applyFont="1" applyBorder="1" applyAlignment="1">
      <alignment horizontal="center" vertical="center"/>
    </xf>
    <xf numFmtId="49" fontId="31" fillId="0" borderId="6" xfId="0" applyNumberFormat="1" applyFont="1" applyBorder="1" applyAlignment="1">
      <alignment horizontal="center" vertical="center"/>
    </xf>
    <xf numFmtId="167" fontId="31" fillId="9" borderId="12" xfId="50" applyNumberFormat="1" applyFont="1" applyFill="1" applyBorder="1" applyAlignment="1" applyProtection="1">
      <alignment horizontal="center" vertical="center"/>
    </xf>
    <xf numFmtId="0" fontId="60" fillId="0" borderId="3" xfId="50" applyFont="1" applyFill="1" applyBorder="1" applyAlignment="1" applyProtection="1">
      <alignment horizontal="center" vertical="center"/>
    </xf>
    <xf numFmtId="0" fontId="60" fillId="0" borderId="25" xfId="50" applyFont="1" applyFill="1" applyBorder="1" applyAlignment="1" applyProtection="1">
      <alignment horizontal="center" vertical="center"/>
    </xf>
    <xf numFmtId="0" fontId="60" fillId="9" borderId="19" xfId="50" applyFont="1" applyFill="1" applyBorder="1" applyAlignment="1" applyProtection="1">
      <alignment horizontal="center" vertical="center"/>
    </xf>
    <xf numFmtId="0" fontId="60" fillId="0" borderId="1" xfId="50" applyFont="1" applyFill="1" applyBorder="1" applyAlignment="1" applyProtection="1">
      <alignment horizontal="center" vertical="center"/>
    </xf>
    <xf numFmtId="0" fontId="31" fillId="9" borderId="19" xfId="50" applyFont="1" applyFill="1" applyBorder="1" applyAlignment="1" applyProtection="1">
      <alignment horizontal="center" vertical="center"/>
    </xf>
    <xf numFmtId="171" fontId="60" fillId="0" borderId="101" xfId="4" applyNumberFormat="1" applyFont="1" applyFill="1" applyBorder="1" applyAlignment="1">
      <alignment horizontal="right" vertical="center" wrapText="1" indent="2"/>
    </xf>
    <xf numFmtId="171" fontId="60" fillId="0" borderId="102" xfId="4" applyNumberFormat="1" applyFont="1" applyFill="1" applyBorder="1" applyAlignment="1">
      <alignment horizontal="right" vertical="center" wrapText="1" indent="2"/>
    </xf>
    <xf numFmtId="0" fontId="62" fillId="0" borderId="0" xfId="4" applyFont="1" applyFill="1" applyBorder="1" applyAlignment="1">
      <alignment horizontal="right" vertical="center"/>
    </xf>
    <xf numFmtId="0" fontId="31" fillId="0" borderId="31" xfId="4" applyFont="1" applyBorder="1" applyAlignment="1">
      <alignment horizontal="center" vertical="center" wrapText="1"/>
    </xf>
    <xf numFmtId="0" fontId="31" fillId="0" borderId="13" xfId="4" applyFont="1" applyBorder="1" applyAlignment="1">
      <alignment horizontal="center" vertical="center" wrapText="1"/>
    </xf>
    <xf numFmtId="0" fontId="31" fillId="0" borderId="13" xfId="4" applyFont="1" applyFill="1" applyBorder="1" applyAlignment="1">
      <alignment horizontal="center" vertical="center" wrapText="1"/>
    </xf>
    <xf numFmtId="0" fontId="31" fillId="0" borderId="14" xfId="4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41" fontId="60" fillId="0" borderId="102" xfId="0" applyNumberFormat="1" applyFont="1" applyBorder="1" applyAlignment="1">
      <alignment horizontal="right" vertical="center" indent="1"/>
    </xf>
    <xf numFmtId="41" fontId="60" fillId="0" borderId="102" xfId="0" applyNumberFormat="1" applyFont="1" applyBorder="1"/>
    <xf numFmtId="49" fontId="16" fillId="0" borderId="94" xfId="0" applyNumberFormat="1" applyFont="1" applyBorder="1" applyAlignment="1">
      <alignment horizontal="center" vertical="center" wrapText="1"/>
    </xf>
    <xf numFmtId="0" fontId="17" fillId="0" borderId="94" xfId="0" applyFont="1" applyBorder="1" applyAlignment="1">
      <alignment vertical="center" wrapText="1"/>
    </xf>
    <xf numFmtId="0" fontId="64" fillId="0" borderId="30" xfId="0" applyFont="1" applyBorder="1" applyAlignment="1">
      <alignment horizontal="center"/>
    </xf>
    <xf numFmtId="0" fontId="0" fillId="0" borderId="94" xfId="0" applyBorder="1" applyAlignment="1">
      <alignment horizontal="center" vertical="center" wrapText="1"/>
    </xf>
    <xf numFmtId="49" fontId="18" fillId="0" borderId="94" xfId="0" applyNumberFormat="1" applyFont="1" applyBorder="1" applyAlignment="1">
      <alignment horizontal="center" vertical="center"/>
    </xf>
    <xf numFmtId="0" fontId="65" fillId="0" borderId="94" xfId="0" applyFont="1" applyBorder="1" applyAlignment="1">
      <alignment horizontal="center" vertical="center"/>
    </xf>
    <xf numFmtId="3" fontId="81" fillId="0" borderId="0" xfId="3" applyNumberFormat="1" applyFont="1" applyBorder="1" applyAlignment="1">
      <alignment horizontal="center" vertical="center" wrapText="1"/>
    </xf>
    <xf numFmtId="3" fontId="81" fillId="0" borderId="0" xfId="3" applyNumberFormat="1" applyFont="1" applyBorder="1" applyAlignment="1">
      <alignment horizontal="center" vertical="center"/>
    </xf>
    <xf numFmtId="0" fontId="22" fillId="9" borderId="47" xfId="0" applyFont="1" applyFill="1" applyBorder="1" applyAlignment="1">
      <alignment horizontal="left" vertical="center" wrapText="1"/>
    </xf>
    <xf numFmtId="0" fontId="22" fillId="9" borderId="76" xfId="0" applyFont="1" applyFill="1" applyBorder="1" applyAlignment="1">
      <alignment horizontal="left" vertical="center" wrapText="1"/>
    </xf>
    <xf numFmtId="0" fontId="22" fillId="9" borderId="22" xfId="0" applyFont="1" applyFill="1" applyBorder="1" applyAlignment="1">
      <alignment horizontal="left" vertical="center" wrapText="1"/>
    </xf>
    <xf numFmtId="0" fontId="22" fillId="9" borderId="95" xfId="0" applyFont="1" applyFill="1" applyBorder="1" applyAlignment="1">
      <alignment horizontal="left" vertical="center" wrapText="1"/>
    </xf>
    <xf numFmtId="0" fontId="22" fillId="9" borderId="96" xfId="0" applyFont="1" applyFill="1" applyBorder="1" applyAlignment="1">
      <alignment horizontal="left" vertical="center" wrapText="1"/>
    </xf>
    <xf numFmtId="0" fontId="22" fillId="9" borderId="52" xfId="0" applyFont="1" applyFill="1" applyBorder="1" applyAlignment="1">
      <alignment horizontal="left" vertical="center"/>
    </xf>
    <xf numFmtId="0" fontId="22" fillId="9" borderId="54" xfId="0" applyFont="1" applyFill="1" applyBorder="1" applyAlignment="1">
      <alignment horizontal="left" vertical="center"/>
    </xf>
    <xf numFmtId="0" fontId="22" fillId="9" borderId="26" xfId="0" applyFont="1" applyFill="1" applyBorder="1" applyAlignment="1">
      <alignment horizontal="left" vertical="center"/>
    </xf>
    <xf numFmtId="0" fontId="22" fillId="9" borderId="52" xfId="0" applyFont="1" applyFill="1" applyBorder="1" applyAlignment="1">
      <alignment horizontal="left" vertical="center" wrapText="1"/>
    </xf>
    <xf numFmtId="0" fontId="2" fillId="9" borderId="54" xfId="0" applyFont="1" applyFill="1" applyBorder="1" applyAlignment="1">
      <alignment vertical="center"/>
    </xf>
    <xf numFmtId="0" fontId="2" fillId="9" borderId="26" xfId="0" applyFont="1" applyFill="1" applyBorder="1" applyAlignment="1">
      <alignment vertical="center"/>
    </xf>
    <xf numFmtId="0" fontId="24" fillId="0" borderId="48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left" vertical="center" wrapText="1"/>
    </xf>
    <xf numFmtId="0" fontId="65" fillId="0" borderId="30" xfId="0" applyFont="1" applyFill="1" applyBorder="1" applyAlignment="1"/>
    <xf numFmtId="0" fontId="65" fillId="0" borderId="46" xfId="0" applyFont="1" applyFill="1" applyBorder="1" applyAlignment="1"/>
    <xf numFmtId="0" fontId="22" fillId="9" borderId="5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vertical="center"/>
    </xf>
    <xf numFmtId="0" fontId="2" fillId="9" borderId="57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65" fillId="0" borderId="30" xfId="0" applyFont="1" applyFill="1" applyBorder="1" applyAlignment="1">
      <alignment vertical="center"/>
    </xf>
    <xf numFmtId="0" fontId="65" fillId="0" borderId="46" xfId="0" applyFont="1" applyFill="1" applyBorder="1" applyAlignment="1">
      <alignment vertical="center"/>
    </xf>
    <xf numFmtId="0" fontId="24" fillId="0" borderId="48" xfId="0" applyFont="1" applyFill="1" applyBorder="1" applyAlignment="1">
      <alignment horizontal="left" vertical="center" wrapText="1"/>
    </xf>
    <xf numFmtId="0" fontId="65" fillId="0" borderId="33" xfId="0" applyFont="1" applyFill="1" applyBorder="1" applyAlignment="1">
      <alignment vertical="center"/>
    </xf>
    <xf numFmtId="0" fontId="65" fillId="0" borderId="28" xfId="0" applyFont="1" applyFill="1" applyBorder="1" applyAlignment="1">
      <alignment vertical="center"/>
    </xf>
    <xf numFmtId="0" fontId="22" fillId="9" borderId="54" xfId="0" applyFont="1" applyFill="1" applyBorder="1" applyAlignment="1">
      <alignment horizontal="left" vertical="center" wrapText="1"/>
    </xf>
    <xf numFmtId="0" fontId="22" fillId="9" borderId="26" xfId="0" applyFont="1" applyFill="1" applyBorder="1" applyAlignment="1">
      <alignment horizontal="left" vertical="center" wrapText="1"/>
    </xf>
    <xf numFmtId="0" fontId="100" fillId="0" borderId="24" xfId="0" applyFont="1" applyBorder="1" applyAlignment="1">
      <alignment horizontal="right"/>
    </xf>
    <xf numFmtId="0" fontId="79" fillId="0" borderId="0" xfId="0" applyFont="1" applyBorder="1" applyAlignment="1">
      <alignment horizontal="center" vertical="center"/>
    </xf>
    <xf numFmtId="0" fontId="53" fillId="0" borderId="30" xfId="0" applyFont="1" applyBorder="1" applyAlignment="1">
      <alignment horizontal="right"/>
    </xf>
    <xf numFmtId="0" fontId="67" fillId="9" borderId="19" xfId="0" applyFont="1" applyFill="1" applyBorder="1" applyAlignment="1">
      <alignment horizontal="left" vertical="center"/>
    </xf>
    <xf numFmtId="0" fontId="67" fillId="9" borderId="12" xfId="0" applyFont="1" applyFill="1" applyBorder="1" applyAlignment="1">
      <alignment horizontal="left" vertical="center"/>
    </xf>
    <xf numFmtId="0" fontId="82" fillId="0" borderId="0" xfId="0" applyFont="1" applyBorder="1" applyAlignment="1">
      <alignment horizontal="center" vertical="center"/>
    </xf>
    <xf numFmtId="0" fontId="53" fillId="0" borderId="24" xfId="0" applyFont="1" applyBorder="1" applyAlignment="1">
      <alignment horizontal="right"/>
    </xf>
    <xf numFmtId="0" fontId="83" fillId="9" borderId="52" xfId="0" applyFont="1" applyFill="1" applyBorder="1" applyAlignment="1">
      <alignment vertical="center" wrapText="1"/>
    </xf>
    <xf numFmtId="0" fontId="7" fillId="9" borderId="54" xfId="0" applyFont="1" applyFill="1" applyBorder="1" applyAlignment="1">
      <alignment vertical="center"/>
    </xf>
    <xf numFmtId="0" fontId="7" fillId="9" borderId="26" xfId="0" applyFont="1" applyFill="1" applyBorder="1" applyAlignment="1">
      <alignment vertical="center"/>
    </xf>
    <xf numFmtId="0" fontId="83" fillId="9" borderId="52" xfId="0" applyFont="1" applyFill="1" applyBorder="1" applyAlignment="1">
      <alignment horizontal="left" vertical="center" wrapText="1"/>
    </xf>
    <xf numFmtId="0" fontId="11" fillId="9" borderId="52" xfId="0" applyFont="1" applyFill="1" applyBorder="1" applyAlignment="1">
      <alignment horizontal="left" vertical="center" wrapText="1"/>
    </xf>
    <xf numFmtId="0" fontId="9" fillId="9" borderId="54" xfId="0" applyFont="1" applyFill="1" applyBorder="1" applyAlignment="1">
      <alignment vertical="center"/>
    </xf>
    <xf numFmtId="0" fontId="9" fillId="9" borderId="26" xfId="0" applyFont="1" applyFill="1" applyBorder="1" applyAlignment="1">
      <alignment vertical="center"/>
    </xf>
    <xf numFmtId="3" fontId="9" fillId="9" borderId="52" xfId="0" applyNumberFormat="1" applyFont="1" applyFill="1" applyBorder="1" applyAlignment="1">
      <alignment horizontal="right" vertical="center" indent="1"/>
    </xf>
    <xf numFmtId="0" fontId="9" fillId="9" borderId="54" xfId="0" applyFont="1" applyFill="1" applyBorder="1" applyAlignment="1">
      <alignment horizontal="right" vertical="center" indent="1"/>
    </xf>
    <xf numFmtId="0" fontId="9" fillId="9" borderId="26" xfId="0" applyFont="1" applyFill="1" applyBorder="1" applyAlignment="1">
      <alignment horizontal="right" vertical="center" indent="1"/>
    </xf>
    <xf numFmtId="49" fontId="83" fillId="0" borderId="36" xfId="0" applyNumberFormat="1" applyFont="1" applyBorder="1" applyAlignment="1">
      <alignment horizontal="center" vertical="center"/>
    </xf>
    <xf numFmtId="49" fontId="83" fillId="0" borderId="3" xfId="0" applyNumberFormat="1" applyFont="1" applyBorder="1" applyAlignment="1">
      <alignment horizontal="center" vertical="center"/>
    </xf>
    <xf numFmtId="49" fontId="83" fillId="0" borderId="34" xfId="0" applyNumberFormat="1" applyFont="1" applyBorder="1" applyAlignment="1">
      <alignment horizontal="center" vertical="center"/>
    </xf>
    <xf numFmtId="0" fontId="31" fillId="9" borderId="19" xfId="0" applyFont="1" applyFill="1" applyBorder="1" applyAlignment="1">
      <alignment horizontal="left" vertical="center" wrapText="1"/>
    </xf>
    <xf numFmtId="0" fontId="31" fillId="9" borderId="12" xfId="0" applyFont="1" applyFill="1" applyBorder="1" applyAlignment="1">
      <alignment horizontal="left" vertical="center" wrapText="1"/>
    </xf>
    <xf numFmtId="49" fontId="11" fillId="0" borderId="36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3" fontId="7" fillId="9" borderId="52" xfId="0" applyNumberFormat="1" applyFont="1" applyFill="1" applyBorder="1" applyAlignment="1">
      <alignment horizontal="right" vertical="center" indent="1"/>
    </xf>
    <xf numFmtId="0" fontId="7" fillId="9" borderId="54" xfId="0" applyFont="1" applyFill="1" applyBorder="1" applyAlignment="1">
      <alignment horizontal="right" vertical="center" indent="1"/>
    </xf>
    <xf numFmtId="0" fontId="7" fillId="9" borderId="26" xfId="0" applyFont="1" applyFill="1" applyBorder="1" applyAlignment="1">
      <alignment horizontal="right" vertical="center" indent="1"/>
    </xf>
    <xf numFmtId="49" fontId="83" fillId="0" borderId="47" xfId="0" applyNumberFormat="1" applyFont="1" applyBorder="1" applyAlignment="1">
      <alignment horizontal="center" vertical="center"/>
    </xf>
    <xf numFmtId="49" fontId="83" fillId="0" borderId="23" xfId="0" applyNumberFormat="1" applyFont="1" applyBorder="1" applyAlignment="1">
      <alignment horizontal="center" vertical="center"/>
    </xf>
    <xf numFmtId="49" fontId="83" fillId="0" borderId="95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79" fillId="0" borderId="0" xfId="5" applyFont="1" applyBorder="1" applyAlignment="1">
      <alignment horizontal="center" vertical="center" wrapText="1"/>
    </xf>
    <xf numFmtId="0" fontId="80" fillId="0" borderId="0" xfId="0" applyFont="1" applyBorder="1" applyAlignment="1">
      <alignment vertical="center"/>
    </xf>
    <xf numFmtId="168" fontId="87" fillId="3" borderId="98" xfId="5" applyNumberFormat="1" applyFont="1" applyFill="1" applyBorder="1" applyAlignment="1">
      <alignment vertical="center" wrapText="1"/>
    </xf>
    <xf numFmtId="168" fontId="87" fillId="3" borderId="0" xfId="5" applyNumberFormat="1" applyFont="1" applyFill="1" applyBorder="1" applyAlignment="1">
      <alignment vertical="center" wrapText="1"/>
    </xf>
    <xf numFmtId="168" fontId="87" fillId="3" borderId="77" xfId="5" applyNumberFormat="1" applyFont="1" applyFill="1" applyBorder="1" applyAlignment="1">
      <alignment vertical="center" wrapText="1"/>
    </xf>
    <xf numFmtId="1" fontId="78" fillId="8" borderId="63" xfId="5" applyNumberFormat="1" applyFont="1" applyFill="1" applyBorder="1" applyAlignment="1">
      <alignment vertical="center"/>
    </xf>
    <xf numFmtId="1" fontId="78" fillId="8" borderId="68" xfId="5" applyNumberFormat="1" applyFont="1" applyFill="1" applyBorder="1" applyAlignment="1">
      <alignment vertical="center"/>
    </xf>
    <xf numFmtId="1" fontId="78" fillId="8" borderId="69" xfId="5" applyNumberFormat="1" applyFont="1" applyFill="1" applyBorder="1" applyAlignment="1">
      <alignment vertical="center"/>
    </xf>
    <xf numFmtId="1" fontId="74" fillId="8" borderId="48" xfId="5" applyNumberFormat="1" applyFont="1" applyFill="1" applyBorder="1" applyAlignment="1">
      <alignment vertical="center"/>
    </xf>
    <xf numFmtId="1" fontId="74" fillId="8" borderId="33" xfId="5" applyNumberFormat="1" applyFont="1" applyFill="1" applyBorder="1" applyAlignment="1">
      <alignment vertical="center"/>
    </xf>
    <xf numFmtId="1" fontId="74" fillId="8" borderId="28" xfId="5" applyNumberFormat="1" applyFont="1" applyFill="1" applyBorder="1" applyAlignment="1">
      <alignment vertical="center"/>
    </xf>
    <xf numFmtId="41" fontId="87" fillId="3" borderId="53" xfId="5" applyNumberFormat="1" applyFont="1" applyFill="1" applyBorder="1" applyAlignment="1">
      <alignment vertical="center" wrapText="1"/>
    </xf>
    <xf numFmtId="41" fontId="87" fillId="3" borderId="24" xfId="5" applyNumberFormat="1" applyFont="1" applyFill="1" applyBorder="1" applyAlignment="1">
      <alignment vertical="center" wrapText="1"/>
    </xf>
    <xf numFmtId="41" fontId="87" fillId="3" borderId="57" xfId="5" applyNumberFormat="1" applyFont="1" applyFill="1" applyBorder="1" applyAlignment="1">
      <alignment vertical="center" wrapText="1"/>
    </xf>
    <xf numFmtId="1" fontId="74" fillId="8" borderId="63" xfId="5" applyNumberFormat="1" applyFont="1" applyFill="1" applyBorder="1" applyAlignment="1">
      <alignment vertical="center"/>
    </xf>
    <xf numFmtId="1" fontId="74" fillId="8" borderId="68" xfId="5" applyNumberFormat="1" applyFont="1" applyFill="1" applyBorder="1" applyAlignment="1">
      <alignment vertical="center"/>
    </xf>
    <xf numFmtId="1" fontId="74" fillId="8" borderId="69" xfId="5" applyNumberFormat="1" applyFont="1" applyFill="1" applyBorder="1" applyAlignment="1">
      <alignment vertical="center"/>
    </xf>
    <xf numFmtId="0" fontId="74" fillId="8" borderId="48" xfId="0" applyFont="1" applyFill="1" applyBorder="1" applyAlignment="1">
      <alignment vertical="center"/>
    </xf>
    <xf numFmtId="0" fontId="74" fillId="8" borderId="33" xfId="0" applyFont="1" applyFill="1" applyBorder="1" applyAlignment="1">
      <alignment vertical="center"/>
    </xf>
    <xf numFmtId="0" fontId="74" fillId="8" borderId="28" xfId="0" applyFont="1" applyFill="1" applyBorder="1" applyAlignment="1">
      <alignment vertical="center"/>
    </xf>
    <xf numFmtId="168" fontId="87" fillId="3" borderId="53" xfId="5" applyNumberFormat="1" applyFont="1" applyFill="1" applyBorder="1" applyAlignment="1">
      <alignment vertical="center" wrapText="1"/>
    </xf>
    <xf numFmtId="168" fontId="87" fillId="3" borderId="24" xfId="5" applyNumberFormat="1" applyFont="1" applyFill="1" applyBorder="1" applyAlignment="1">
      <alignment vertical="center" wrapText="1"/>
    </xf>
    <xf numFmtId="168" fontId="87" fillId="3" borderId="57" xfId="5" applyNumberFormat="1" applyFont="1" applyFill="1" applyBorder="1" applyAlignment="1">
      <alignment vertical="center" wrapText="1"/>
    </xf>
    <xf numFmtId="0" fontId="74" fillId="8" borderId="49" xfId="5" applyFont="1" applyFill="1" applyBorder="1" applyAlignment="1">
      <alignment vertical="center"/>
    </xf>
    <xf numFmtId="0" fontId="74" fillId="8" borderId="30" xfId="5" applyFont="1" applyFill="1" applyBorder="1" applyAlignment="1">
      <alignment vertical="center"/>
    </xf>
    <xf numFmtId="0" fontId="74" fillId="8" borderId="46" xfId="5" applyFont="1" applyFill="1" applyBorder="1" applyAlignment="1">
      <alignment vertical="center"/>
    </xf>
    <xf numFmtId="1" fontId="74" fillId="8" borderId="94" xfId="5" applyNumberFormat="1" applyFont="1" applyFill="1" applyBorder="1" applyAlignment="1">
      <alignment vertical="center"/>
    </xf>
    <xf numFmtId="0" fontId="74" fillId="0" borderId="94" xfId="0" applyFont="1" applyBorder="1" applyAlignment="1">
      <alignment vertical="center"/>
    </xf>
    <xf numFmtId="0" fontId="74" fillId="0" borderId="2" xfId="0" applyFont="1" applyBorder="1" applyAlignment="1">
      <alignment vertical="center"/>
    </xf>
    <xf numFmtId="168" fontId="87" fillId="3" borderId="12" xfId="5" applyNumberFormat="1" applyFont="1" applyFill="1" applyBorder="1" applyAlignment="1">
      <alignment vertical="center" wrapText="1"/>
    </xf>
    <xf numFmtId="0" fontId="71" fillId="0" borderId="12" xfId="0" applyFont="1" applyBorder="1" applyAlignment="1">
      <alignment vertical="center"/>
    </xf>
    <xf numFmtId="0" fontId="71" fillId="0" borderId="17" xfId="0" applyFont="1" applyBorder="1" applyAlignment="1">
      <alignment vertical="center"/>
    </xf>
    <xf numFmtId="1" fontId="74" fillId="8" borderId="5" xfId="5" applyNumberFormat="1" applyFont="1" applyFill="1" applyBorder="1" applyAlignment="1">
      <alignment vertical="center"/>
    </xf>
    <xf numFmtId="0" fontId="60" fillId="0" borderId="5" xfId="0" applyFont="1" applyBorder="1" applyAlignment="1">
      <alignment vertical="center"/>
    </xf>
    <xf numFmtId="0" fontId="60" fillId="0" borderId="6" xfId="0" applyFont="1" applyBorder="1" applyAlignment="1">
      <alignment vertical="center"/>
    </xf>
    <xf numFmtId="1" fontId="74" fillId="8" borderId="49" xfId="5" applyNumberFormat="1" applyFont="1" applyFill="1" applyBorder="1" applyAlignment="1">
      <alignment vertical="center"/>
    </xf>
    <xf numFmtId="1" fontId="74" fillId="8" borderId="30" xfId="5" applyNumberFormat="1" applyFont="1" applyFill="1" applyBorder="1" applyAlignment="1">
      <alignment vertical="center"/>
    </xf>
    <xf numFmtId="1" fontId="74" fillId="8" borderId="46" xfId="5" applyNumberFormat="1" applyFont="1" applyFill="1" applyBorder="1" applyAlignment="1">
      <alignment vertical="center"/>
    </xf>
    <xf numFmtId="0" fontId="74" fillId="8" borderId="48" xfId="5" applyFont="1" applyFill="1" applyBorder="1" applyAlignment="1">
      <alignment vertical="center"/>
    </xf>
    <xf numFmtId="0" fontId="74" fillId="8" borderId="33" xfId="5" applyFont="1" applyFill="1" applyBorder="1" applyAlignment="1">
      <alignment vertical="center"/>
    </xf>
    <xf numFmtId="0" fontId="74" fillId="8" borderId="28" xfId="5" applyFont="1" applyFill="1" applyBorder="1" applyAlignment="1">
      <alignment vertical="center"/>
    </xf>
    <xf numFmtId="0" fontId="10" fillId="0" borderId="0" xfId="5" applyFont="1" applyBorder="1" applyAlignment="1">
      <alignment horizontal="left" vertical="center" wrapText="1"/>
    </xf>
    <xf numFmtId="0" fontId="10" fillId="0" borderId="0" xfId="5" applyFont="1" applyAlignment="1">
      <alignment horizontal="left" vertical="center" wrapText="1"/>
    </xf>
    <xf numFmtId="0" fontId="74" fillId="8" borderId="63" xfId="5" applyFont="1" applyFill="1" applyBorder="1" applyAlignment="1">
      <alignment vertical="center"/>
    </xf>
    <xf numFmtId="0" fontId="74" fillId="8" borderId="68" xfId="5" applyFont="1" applyFill="1" applyBorder="1" applyAlignment="1">
      <alignment vertical="center"/>
    </xf>
    <xf numFmtId="0" fontId="74" fillId="8" borderId="69" xfId="5" applyFont="1" applyFill="1" applyBorder="1" applyAlignment="1">
      <alignment vertical="center"/>
    </xf>
    <xf numFmtId="0" fontId="70" fillId="3" borderId="11" xfId="5" applyFont="1" applyFill="1" applyBorder="1" applyAlignment="1">
      <alignment horizontal="left" vertical="center" wrapText="1"/>
    </xf>
    <xf numFmtId="0" fontId="70" fillId="3" borderId="4" xfId="5" applyFont="1" applyFill="1" applyBorder="1" applyAlignment="1">
      <alignment horizontal="left" vertical="center" wrapText="1"/>
    </xf>
    <xf numFmtId="168" fontId="87" fillId="3" borderId="51" xfId="5" applyNumberFormat="1" applyFont="1" applyFill="1" applyBorder="1" applyAlignment="1">
      <alignment vertical="center" wrapText="1"/>
    </xf>
    <xf numFmtId="168" fontId="87" fillId="3" borderId="76" xfId="5" applyNumberFormat="1" applyFont="1" applyFill="1" applyBorder="1" applyAlignment="1">
      <alignment vertical="center" wrapText="1"/>
    </xf>
    <xf numFmtId="168" fontId="87" fillId="3" borderId="22" xfId="5" applyNumberFormat="1" applyFont="1" applyFill="1" applyBorder="1" applyAlignment="1">
      <alignment vertical="center" wrapText="1"/>
    </xf>
    <xf numFmtId="1" fontId="78" fillId="8" borderId="13" xfId="5" applyNumberFormat="1" applyFont="1" applyFill="1" applyBorder="1" applyAlignment="1">
      <alignment vertical="center"/>
    </xf>
    <xf numFmtId="1" fontId="78" fillId="8" borderId="14" xfId="5" applyNumberFormat="1" applyFont="1" applyFill="1" applyBorder="1" applyAlignment="1">
      <alignment vertical="center"/>
    </xf>
    <xf numFmtId="0" fontId="102" fillId="5" borderId="94" xfId="5" applyFont="1" applyFill="1" applyBorder="1" applyAlignment="1">
      <alignment horizontal="center" vertical="center" wrapText="1"/>
    </xf>
    <xf numFmtId="0" fontId="102" fillId="5" borderId="2" xfId="5" applyFont="1" applyFill="1" applyBorder="1" applyAlignment="1">
      <alignment horizontal="center" vertical="center" wrapText="1"/>
    </xf>
    <xf numFmtId="0" fontId="102" fillId="5" borderId="99" xfId="5" applyFont="1" applyFill="1" applyBorder="1" applyAlignment="1">
      <alignment horizontal="center" vertical="center" wrapText="1"/>
    </xf>
    <xf numFmtId="0" fontId="102" fillId="5" borderId="100" xfId="5" applyFont="1" applyFill="1" applyBorder="1" applyAlignment="1">
      <alignment horizontal="center" vertical="center" wrapText="1"/>
    </xf>
    <xf numFmtId="0" fontId="102" fillId="5" borderId="101" xfId="5" applyFont="1" applyFill="1" applyBorder="1" applyAlignment="1">
      <alignment horizontal="center" vertical="center" wrapText="1"/>
    </xf>
    <xf numFmtId="3" fontId="60" fillId="9" borderId="94" xfId="1" applyNumberFormat="1" applyFont="1" applyFill="1" applyBorder="1" applyAlignment="1">
      <alignment horizontal="center" vertical="center"/>
    </xf>
    <xf numFmtId="3" fontId="60" fillId="0" borderId="94" xfId="0" applyNumberFormat="1" applyFont="1" applyBorder="1" applyAlignment="1">
      <alignment vertical="center"/>
    </xf>
    <xf numFmtId="3" fontId="68" fillId="8" borderId="94" xfId="1" applyNumberFormat="1" applyFont="1" applyFill="1" applyBorder="1" applyAlignment="1">
      <alignment horizontal="center" vertical="center"/>
    </xf>
    <xf numFmtId="3" fontId="60" fillId="8" borderId="94" xfId="0" applyNumberFormat="1" applyFont="1" applyFill="1" applyBorder="1" applyAlignment="1">
      <alignment vertical="center"/>
    </xf>
    <xf numFmtId="0" fontId="67" fillId="3" borderId="94" xfId="5" applyFont="1" applyFill="1" applyBorder="1" applyAlignment="1">
      <alignment horizontal="left" vertical="center" wrapText="1"/>
    </xf>
    <xf numFmtId="3" fontId="68" fillId="9" borderId="94" xfId="1" applyNumberFormat="1" applyFont="1" applyFill="1" applyBorder="1" applyAlignment="1">
      <alignment horizontal="center" vertical="center"/>
    </xf>
    <xf numFmtId="3" fontId="67" fillId="9" borderId="94" xfId="1" applyNumberFormat="1" applyFont="1" applyFill="1" applyBorder="1" applyAlignment="1">
      <alignment horizontal="center" vertical="center"/>
    </xf>
    <xf numFmtId="0" fontId="31" fillId="0" borderId="31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79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31" fillId="8" borderId="74" xfId="0" applyFont="1" applyFill="1" applyBorder="1" applyAlignment="1">
      <alignment horizontal="left" vertical="center"/>
    </xf>
    <xf numFmtId="0" fontId="31" fillId="8" borderId="2" xfId="0" applyFont="1" applyFill="1" applyBorder="1" applyAlignment="1">
      <alignment horizontal="left" vertical="center"/>
    </xf>
    <xf numFmtId="0" fontId="31" fillId="8" borderId="13" xfId="0" applyFont="1" applyFill="1" applyBorder="1" applyAlignment="1">
      <alignment horizontal="left" vertical="center"/>
    </xf>
    <xf numFmtId="0" fontId="31" fillId="8" borderId="14" xfId="0" applyFont="1" applyFill="1" applyBorder="1" applyAlignment="1">
      <alignment horizontal="left" vertical="center"/>
    </xf>
    <xf numFmtId="0" fontId="31" fillId="8" borderId="94" xfId="0" applyFont="1" applyFill="1" applyBorder="1" applyAlignment="1">
      <alignment horizontal="left" vertical="center"/>
    </xf>
    <xf numFmtId="0" fontId="60" fillId="0" borderId="0" xfId="0" applyFont="1" applyBorder="1" applyAlignment="1">
      <alignment horizontal="left" vertical="justify"/>
    </xf>
    <xf numFmtId="0" fontId="69" fillId="0" borderId="0" xfId="0" applyFont="1" applyAlignment="1">
      <alignment horizontal="center" vertical="center" wrapText="1"/>
    </xf>
    <xf numFmtId="0" fontId="31" fillId="0" borderId="107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3" fontId="70" fillId="6" borderId="0" xfId="0" applyNumberFormat="1" applyFont="1" applyFill="1" applyAlignment="1">
      <alignment horizontal="center"/>
    </xf>
    <xf numFmtId="0" fontId="7" fillId="9" borderId="11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3" fontId="7" fillId="7" borderId="29" xfId="0" applyNumberFormat="1" applyFont="1" applyFill="1" applyBorder="1" applyAlignment="1" applyProtection="1">
      <alignment horizontal="center" vertical="center" wrapText="1"/>
    </xf>
    <xf numFmtId="3" fontId="7" fillId="7" borderId="35" xfId="0" applyNumberFormat="1" applyFont="1" applyFill="1" applyBorder="1" applyAlignment="1" applyProtection="1">
      <alignment horizontal="center" vertical="center" wrapText="1"/>
    </xf>
    <xf numFmtId="49" fontId="7" fillId="6" borderId="36" xfId="0" applyNumberFormat="1" applyFont="1" applyFill="1" applyBorder="1" applyAlignment="1" applyProtection="1">
      <alignment horizontal="center" vertical="center"/>
    </xf>
    <xf numFmtId="49" fontId="7" fillId="6" borderId="34" xfId="0" applyNumberFormat="1" applyFont="1" applyFill="1" applyBorder="1" applyAlignment="1" applyProtection="1">
      <alignment horizontal="center" vertical="center"/>
    </xf>
    <xf numFmtId="3" fontId="7" fillId="7" borderId="18" xfId="0" applyNumberFormat="1" applyFont="1" applyFill="1" applyBorder="1" applyAlignment="1" applyProtection="1">
      <alignment horizontal="center" vertical="center" wrapText="1"/>
    </xf>
    <xf numFmtId="3" fontId="7" fillId="7" borderId="55" xfId="0" applyNumberFormat="1" applyFont="1" applyFill="1" applyBorder="1" applyAlignment="1" applyProtection="1">
      <alignment horizontal="center" vertical="center" wrapText="1"/>
    </xf>
    <xf numFmtId="0" fontId="31" fillId="0" borderId="0" xfId="5" applyFont="1" applyBorder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67" fillId="0" borderId="13" xfId="5" applyFont="1" applyBorder="1" applyAlignment="1">
      <alignment horizontal="center" vertical="center" wrapText="1"/>
    </xf>
    <xf numFmtId="0" fontId="67" fillId="0" borderId="15" xfId="5" applyFont="1" applyBorder="1" applyAlignment="1">
      <alignment horizontal="center" vertical="center" wrapText="1"/>
    </xf>
    <xf numFmtId="0" fontId="67" fillId="3" borderId="19" xfId="5" applyFont="1" applyFill="1" applyBorder="1" applyAlignment="1">
      <alignment horizontal="left" vertical="center" wrapText="1"/>
    </xf>
    <xf numFmtId="0" fontId="67" fillId="3" borderId="12" xfId="5" applyFont="1" applyFill="1" applyBorder="1" applyAlignment="1">
      <alignment horizontal="left" vertical="center" wrapText="1"/>
    </xf>
    <xf numFmtId="0" fontId="67" fillId="0" borderId="31" xfId="5" applyFont="1" applyBorder="1" applyAlignment="1">
      <alignment horizontal="center" vertical="center"/>
    </xf>
    <xf numFmtId="0" fontId="67" fillId="0" borderId="27" xfId="5" applyFont="1" applyBorder="1" applyAlignment="1">
      <alignment horizontal="center" vertical="center"/>
    </xf>
    <xf numFmtId="41" fontId="67" fillId="0" borderId="93" xfId="5" applyNumberFormat="1" applyFont="1" applyBorder="1" applyAlignment="1">
      <alignment horizontal="right" vertical="center"/>
    </xf>
    <xf numFmtId="0" fontId="60" fillId="0" borderId="76" xfId="0" applyFont="1" applyBorder="1" applyAlignment="1">
      <alignment vertical="center"/>
    </xf>
    <xf numFmtId="0" fontId="60" fillId="0" borderId="22" xfId="0" applyFont="1" applyBorder="1" applyAlignment="1">
      <alignment vertical="center"/>
    </xf>
    <xf numFmtId="0" fontId="67" fillId="0" borderId="18" xfId="0" applyFont="1" applyBorder="1" applyAlignment="1">
      <alignment horizontal="center" vertical="center" wrapText="1"/>
    </xf>
    <xf numFmtId="0" fontId="67" fillId="0" borderId="55" xfId="0" applyFont="1" applyBorder="1" applyAlignment="1">
      <alignment horizontal="center" vertical="center" wrapText="1"/>
    </xf>
    <xf numFmtId="0" fontId="67" fillId="0" borderId="29" xfId="0" applyFont="1" applyBorder="1" applyAlignment="1">
      <alignment horizontal="center" vertical="center" wrapText="1"/>
    </xf>
    <xf numFmtId="0" fontId="67" fillId="0" borderId="35" xfId="0" applyFont="1" applyBorder="1" applyAlignment="1">
      <alignment horizontal="center" vertical="center" wrapText="1"/>
    </xf>
    <xf numFmtId="0" fontId="67" fillId="0" borderId="51" xfId="0" applyFont="1" applyBorder="1" applyAlignment="1">
      <alignment horizontal="center" vertical="center" wrapText="1"/>
    </xf>
    <xf numFmtId="0" fontId="67" fillId="0" borderId="53" xfId="0" applyFont="1" applyBorder="1" applyAlignment="1">
      <alignment horizontal="center" vertical="center" wrapText="1"/>
    </xf>
    <xf numFmtId="0" fontId="67" fillId="0" borderId="29" xfId="5" applyFont="1" applyBorder="1" applyAlignment="1">
      <alignment horizontal="center" vertical="center" wrapText="1"/>
    </xf>
    <xf numFmtId="0" fontId="67" fillId="0" borderId="35" xfId="5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50" applyFont="1" applyFill="1" applyAlignment="1" applyProtection="1">
      <alignment horizontal="center" vertical="center" wrapText="1"/>
      <protection locked="0"/>
    </xf>
    <xf numFmtId="0" fontId="31" fillId="0" borderId="0" xfId="50" applyFont="1" applyFill="1" applyAlignment="1" applyProtection="1">
      <alignment horizontal="center" vertical="center"/>
      <protection locked="0"/>
    </xf>
    <xf numFmtId="0" fontId="86" fillId="0" borderId="52" xfId="50" applyFont="1" applyFill="1" applyBorder="1" applyAlignment="1" applyProtection="1">
      <alignment horizontal="left" vertical="center"/>
    </xf>
    <xf numFmtId="0" fontId="86" fillId="0" borderId="54" xfId="50" applyFont="1" applyFill="1" applyBorder="1" applyAlignment="1" applyProtection="1">
      <alignment horizontal="left" vertical="center"/>
    </xf>
    <xf numFmtId="0" fontId="86" fillId="0" borderId="26" xfId="50" applyFont="1" applyFill="1" applyBorder="1" applyAlignment="1" applyProtection="1">
      <alignment horizontal="left" vertical="center"/>
    </xf>
    <xf numFmtId="43" fontId="86" fillId="0" borderId="52" xfId="50" applyNumberFormat="1" applyFont="1" applyFill="1" applyBorder="1" applyAlignment="1" applyProtection="1">
      <alignment horizontal="left" vertical="center"/>
    </xf>
    <xf numFmtId="43" fontId="86" fillId="0" borderId="54" xfId="50" applyNumberFormat="1" applyFont="1" applyFill="1" applyBorder="1" applyAlignment="1" applyProtection="1">
      <alignment horizontal="left" vertical="center"/>
    </xf>
    <xf numFmtId="43" fontId="86" fillId="0" borderId="26" xfId="50" applyNumberFormat="1" applyFont="1" applyFill="1" applyBorder="1" applyAlignment="1" applyProtection="1">
      <alignment horizontal="left" vertical="center"/>
    </xf>
    <xf numFmtId="0" fontId="69" fillId="0" borderId="0" xfId="0" applyFont="1" applyAlignment="1">
      <alignment horizontal="center" vertical="center"/>
    </xf>
    <xf numFmtId="0" fontId="69" fillId="0" borderId="72" xfId="0" applyFont="1" applyBorder="1" applyAlignment="1">
      <alignment horizontal="left" vertical="center"/>
    </xf>
    <xf numFmtId="0" fontId="69" fillId="0" borderId="30" xfId="0" applyFont="1" applyBorder="1" applyAlignment="1">
      <alignment horizontal="left" vertical="center"/>
    </xf>
    <xf numFmtId="0" fontId="69" fillId="0" borderId="46" xfId="0" applyFont="1" applyBorder="1" applyAlignment="1">
      <alignment horizontal="left" vertical="center"/>
    </xf>
    <xf numFmtId="41" fontId="69" fillId="0" borderId="73" xfId="0" applyNumberFormat="1" applyFont="1" applyBorder="1" applyAlignment="1">
      <alignment horizontal="left" vertical="center"/>
    </xf>
    <xf numFmtId="41" fontId="69" fillId="0" borderId="33" xfId="0" applyNumberFormat="1" applyFont="1" applyBorder="1" applyAlignment="1">
      <alignment horizontal="left" vertical="center"/>
    </xf>
    <xf numFmtId="41" fontId="69" fillId="0" borderId="28" xfId="0" applyNumberFormat="1" applyFont="1" applyBorder="1" applyAlignment="1">
      <alignment horizontal="left" vertical="center"/>
    </xf>
    <xf numFmtId="0" fontId="79" fillId="0" borderId="0" xfId="4" applyFont="1" applyFill="1" applyBorder="1" applyAlignment="1">
      <alignment horizontal="center" vertical="center"/>
    </xf>
    <xf numFmtId="0" fontId="79" fillId="0" borderId="0" xfId="4" applyFont="1" applyBorder="1" applyAlignment="1">
      <alignment horizontal="center" vertical="center"/>
    </xf>
    <xf numFmtId="167" fontId="69" fillId="0" borderId="0" xfId="0" applyNumberFormat="1" applyFont="1" applyFill="1" applyAlignment="1">
      <alignment horizontal="center" vertical="center" wrapText="1"/>
    </xf>
  </cellXfs>
  <cellStyles count="53">
    <cellStyle name="20% - 1. jelölőszín 2" xfId="8"/>
    <cellStyle name="20% - 2. jelölőszín 2" xfId="9"/>
    <cellStyle name="20% - 3. jelölőszín 2" xfId="10"/>
    <cellStyle name="20% - 4. jelölőszín 2" xfId="11"/>
    <cellStyle name="20% - 5. jelölőszín 2" xfId="12"/>
    <cellStyle name="20% - 6. jelölőszín 2" xfId="13"/>
    <cellStyle name="40% - 1. jelölőszín 2" xfId="14"/>
    <cellStyle name="40% - 2. jelölőszín 2" xfId="15"/>
    <cellStyle name="40% - 3. jelölőszín 2" xfId="16"/>
    <cellStyle name="40% - 4. jelölőszín 2" xfId="17"/>
    <cellStyle name="40% - 5. jelölőszín 2" xfId="18"/>
    <cellStyle name="40% - 6. jelölőszín 2" xfId="19"/>
    <cellStyle name="60% - 1. jelölőszín 2" xfId="20"/>
    <cellStyle name="60% - 2. jelölőszín 2" xfId="21"/>
    <cellStyle name="60% - 3. jelölőszín 2" xfId="22"/>
    <cellStyle name="60% - 4. jelölőszín 2" xfId="23"/>
    <cellStyle name="60% - 5. jelölőszín 2" xfId="24"/>
    <cellStyle name="60% - 6. jelölőszín 2" xfId="25"/>
    <cellStyle name="Bevitel 2" xfId="26"/>
    <cellStyle name="Cím 2" xfId="27"/>
    <cellStyle name="Címsor 1 2" xfId="28"/>
    <cellStyle name="Címsor 2 2" xfId="29"/>
    <cellStyle name="Címsor 3 2" xfId="30"/>
    <cellStyle name="Címsor 4 2" xfId="31"/>
    <cellStyle name="Ellenőrzőcella 2" xfId="32"/>
    <cellStyle name="Ezres" xfId="1" builtinId="3"/>
    <cellStyle name="Figyelmeztetés 2" xfId="33"/>
    <cellStyle name="Hivatkozott cella 2" xfId="34"/>
    <cellStyle name="Jegyzet 2" xfId="35"/>
    <cellStyle name="Jelölőszín (1) 2" xfId="36"/>
    <cellStyle name="Jelölőszín (2) 2" xfId="37"/>
    <cellStyle name="Jelölőszín (3) 2" xfId="38"/>
    <cellStyle name="Jelölőszín (4) 2" xfId="39"/>
    <cellStyle name="Jelölőszín (5) 2" xfId="40"/>
    <cellStyle name="Jelölőszín (6) 2" xfId="41"/>
    <cellStyle name="Jó" xfId="49" builtinId="26"/>
    <cellStyle name="Jó 2" xfId="42"/>
    <cellStyle name="Kimenet" xfId="51" builtinId="21"/>
    <cellStyle name="Kimenet 2" xfId="43"/>
    <cellStyle name="Magyarázó szöveg 2" xfId="44"/>
    <cellStyle name="Normál" xfId="0" builtinId="0"/>
    <cellStyle name="Normál 2" xfId="2"/>
    <cellStyle name="Normál 2 2" xfId="3"/>
    <cellStyle name="Normál 2 3" xfId="4"/>
    <cellStyle name="Normál 3" xfId="52"/>
    <cellStyle name="Normál_KÖLTS98" xfId="5"/>
    <cellStyle name="Normál_SEGEDLETEK" xfId="50"/>
    <cellStyle name="Összesen 2" xfId="45"/>
    <cellStyle name="Pénznem 2" xfId="6"/>
    <cellStyle name="Rossz 2" xfId="46"/>
    <cellStyle name="Semleges 2" xfId="47"/>
    <cellStyle name="Számítás 2" xfId="48"/>
    <cellStyle name="Százalék" xfId="7" builtinId="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kumentumok\Palotain&#233;\2016.%20&#233;vi%20k&#246;lts&#233;gvet&#233;s\2016.%20&#233;vi%20ktgvet&#233;s%20tervez&#233;s\Elemi%20k&#246;lts&#233;gvet&#233;s_2016\2016.%20k&#246;lts&#233;gvet&#233;s%20t&#225;bl&#225;k_saj&#225;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t2"/>
      <sheetName val="t3"/>
      <sheetName val="t4"/>
    </sheetNames>
    <sheetDataSet>
      <sheetData sheetId="0"/>
      <sheetData sheetId="1"/>
      <sheetData sheetId="2"/>
      <sheetData sheetId="3">
        <row r="113">
          <cell r="C113">
            <v>0</v>
          </cell>
        </row>
        <row r="114">
          <cell r="C11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29"/>
  <sheetViews>
    <sheetView view="pageLayout" zoomScale="140" zoomScaleNormal="100" zoomScaleSheetLayoutView="100" zoomScalePageLayoutView="140" workbookViewId="0">
      <selection activeCell="B6" sqref="B6"/>
    </sheetView>
  </sheetViews>
  <sheetFormatPr defaultColWidth="10.42578125" defaultRowHeight="18.75" customHeight="1"/>
  <cols>
    <col min="1" max="1" width="10.28515625" style="13" customWidth="1"/>
    <col min="2" max="2" width="75" style="14" customWidth="1"/>
    <col min="3" max="16384" width="10.42578125" style="14"/>
  </cols>
  <sheetData>
    <row r="1" spans="1:2" ht="18.75" customHeight="1">
      <c r="A1" s="1199" t="s">
        <v>3</v>
      </c>
      <c r="B1" s="1199"/>
    </row>
    <row r="2" spans="1:2" ht="18.75" customHeight="1">
      <c r="A2" s="929" t="s">
        <v>4</v>
      </c>
      <c r="B2" s="930" t="s">
        <v>5</v>
      </c>
    </row>
    <row r="3" spans="1:2" ht="18.75" customHeight="1">
      <c r="A3" s="1197" t="s">
        <v>21</v>
      </c>
      <c r="B3" s="1198" t="s">
        <v>275</v>
      </c>
    </row>
    <row r="4" spans="1:2" ht="18.75" customHeight="1">
      <c r="A4" s="1197"/>
      <c r="B4" s="1198"/>
    </row>
    <row r="5" spans="1:2" ht="22.9" customHeight="1">
      <c r="A5" s="929" t="s">
        <v>124</v>
      </c>
      <c r="B5" s="931" t="s">
        <v>294</v>
      </c>
    </row>
    <row r="6" spans="1:2" ht="18.95" customHeight="1">
      <c r="A6" s="1197"/>
      <c r="B6" s="932" t="s">
        <v>364</v>
      </c>
    </row>
    <row r="7" spans="1:2" ht="18.95" customHeight="1">
      <c r="A7" s="1200"/>
      <c r="B7" s="932" t="s">
        <v>365</v>
      </c>
    </row>
    <row r="8" spans="1:2" ht="18.95" customHeight="1">
      <c r="A8" s="1200"/>
      <c r="B8" s="932" t="s">
        <v>366</v>
      </c>
    </row>
    <row r="9" spans="1:2" ht="22.9" customHeight="1">
      <c r="A9" s="929" t="s">
        <v>125</v>
      </c>
      <c r="B9" s="931" t="s">
        <v>293</v>
      </c>
    </row>
    <row r="10" spans="1:2" ht="22.9" customHeight="1">
      <c r="A10" s="929" t="s">
        <v>136</v>
      </c>
      <c r="B10" s="931" t="s">
        <v>386</v>
      </c>
    </row>
    <row r="11" spans="1:2" ht="22.9" customHeight="1">
      <c r="A11" s="929" t="s">
        <v>137</v>
      </c>
      <c r="B11" s="931" t="s">
        <v>275</v>
      </c>
    </row>
    <row r="12" spans="1:2" ht="22.9" customHeight="1">
      <c r="A12" s="1201" t="s">
        <v>55</v>
      </c>
      <c r="B12" s="933" t="s">
        <v>530</v>
      </c>
    </row>
    <row r="13" spans="1:2" ht="22.9" customHeight="1">
      <c r="A13" s="1202"/>
      <c r="B13" s="932" t="s">
        <v>531</v>
      </c>
    </row>
    <row r="14" spans="1:2" ht="22.9" customHeight="1">
      <c r="A14" s="1202"/>
      <c r="B14" s="932" t="s">
        <v>651</v>
      </c>
    </row>
    <row r="15" spans="1:2" s="16" customFormat="1" ht="17.100000000000001" customHeight="1">
      <c r="A15" s="1202"/>
      <c r="B15" s="932" t="s">
        <v>529</v>
      </c>
    </row>
    <row r="16" spans="1:2" s="16" customFormat="1" ht="17.100000000000001" customHeight="1">
      <c r="A16" s="929" t="s">
        <v>22</v>
      </c>
      <c r="B16" s="934" t="s">
        <v>134</v>
      </c>
    </row>
    <row r="17" spans="1:2" s="16" customFormat="1" ht="17.100000000000001" customHeight="1">
      <c r="A17" s="929" t="s">
        <v>138</v>
      </c>
      <c r="B17" s="931" t="s">
        <v>38</v>
      </c>
    </row>
    <row r="18" spans="1:2" s="16" customFormat="1" ht="33" customHeight="1">
      <c r="A18" s="929" t="s">
        <v>139</v>
      </c>
      <c r="B18" s="931" t="s">
        <v>48</v>
      </c>
    </row>
    <row r="19" spans="1:2" ht="31.5" customHeight="1">
      <c r="A19" s="929" t="s">
        <v>140</v>
      </c>
      <c r="B19" s="931" t="s">
        <v>51</v>
      </c>
    </row>
    <row r="20" spans="1:2" ht="22.9" customHeight="1">
      <c r="A20" s="929" t="s">
        <v>141</v>
      </c>
      <c r="B20" s="931" t="s">
        <v>56</v>
      </c>
    </row>
    <row r="21" spans="1:2" ht="28.5" customHeight="1">
      <c r="A21" s="929" t="s">
        <v>142</v>
      </c>
      <c r="B21" s="931" t="s">
        <v>58</v>
      </c>
    </row>
    <row r="22" spans="1:2" ht="22.9" customHeight="1">
      <c r="A22" s="929" t="s">
        <v>143</v>
      </c>
      <c r="B22" s="931" t="s">
        <v>62</v>
      </c>
    </row>
    <row r="23" spans="1:2" ht="22.9" customHeight="1">
      <c r="A23" s="929" t="s">
        <v>144</v>
      </c>
      <c r="B23" s="931" t="s">
        <v>369</v>
      </c>
    </row>
    <row r="24" spans="1:2" ht="22.9" customHeight="1">
      <c r="A24" s="935" t="s">
        <v>145</v>
      </c>
      <c r="B24" s="934" t="s">
        <v>158</v>
      </c>
    </row>
    <row r="25" spans="1:2" ht="22.9" customHeight="1">
      <c r="A25" s="929" t="s">
        <v>146</v>
      </c>
      <c r="B25" s="931" t="s">
        <v>38</v>
      </c>
    </row>
    <row r="26" spans="1:2" ht="31.5" customHeight="1">
      <c r="A26" s="929" t="s">
        <v>147</v>
      </c>
      <c r="B26" s="931" t="s">
        <v>532</v>
      </c>
    </row>
    <row r="27" spans="1:2" ht="22.9" customHeight="1"/>
    <row r="28" spans="1:2" ht="22.9" customHeight="1"/>
    <row r="29" spans="1:2" ht="22.9" customHeight="1"/>
  </sheetData>
  <mergeCells count="5">
    <mergeCell ref="A3:A4"/>
    <mergeCell ref="B3:B4"/>
    <mergeCell ref="A1:B1"/>
    <mergeCell ref="A6:A8"/>
    <mergeCell ref="A12:A15"/>
  </mergeCells>
  <phoneticPr fontId="15" type="noConversion"/>
  <printOptions horizontalCentered="1"/>
  <pageMargins left="0.82677165354330717" right="0.82677165354330717" top="0.74803149606299213" bottom="0.15748031496062992" header="0.31496062992125984" footer="0.31496062992125984"/>
  <pageSetup paperSize="9" orientation="portrait" r:id="rId1"/>
  <headerFooter>
    <oddHeader>&amp;L&amp;"Arial,Dőlt"&amp;9&amp;U 1. melléklet a 2/2020. (II.14.) önkormányzati rendelethez</oddHeader>
    <oddFooter xml:space="preserve">&amp;C&amp;9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G37"/>
  <sheetViews>
    <sheetView view="pageLayout" zoomScaleNormal="100" zoomScaleSheetLayoutView="100" workbookViewId="0">
      <selection activeCell="B5" sqref="B5"/>
    </sheetView>
  </sheetViews>
  <sheetFormatPr defaultColWidth="9.140625" defaultRowHeight="15"/>
  <cols>
    <col min="1" max="1" width="6.140625" style="223" customWidth="1"/>
    <col min="2" max="2" width="52" style="90" customWidth="1"/>
    <col min="3" max="3" width="16.28515625" style="225" customWidth="1"/>
    <col min="4" max="6" width="16.28515625" style="90" customWidth="1"/>
    <col min="7" max="7" width="21" style="90" customWidth="1"/>
    <col min="8" max="16384" width="9.140625" style="90"/>
  </cols>
  <sheetData>
    <row r="1" spans="1:7" s="217" customFormat="1" ht="34.15" customHeight="1">
      <c r="A1" s="1346" t="s">
        <v>274</v>
      </c>
      <c r="B1" s="1346"/>
      <c r="C1" s="1346"/>
      <c r="D1" s="1346"/>
      <c r="E1" s="1346"/>
      <c r="F1" s="1346"/>
    </row>
    <row r="2" spans="1:7" ht="20.45" customHeight="1" thickBot="1">
      <c r="A2" s="1345" t="s">
        <v>90</v>
      </c>
      <c r="B2" s="1345"/>
      <c r="C2" s="90"/>
      <c r="F2" s="1066" t="s">
        <v>692</v>
      </c>
    </row>
    <row r="3" spans="1:7" ht="33" customHeight="1" thickBot="1">
      <c r="A3" s="521" t="s">
        <v>82</v>
      </c>
      <c r="B3" s="226" t="s">
        <v>65</v>
      </c>
      <c r="C3" s="214" t="s">
        <v>148</v>
      </c>
      <c r="D3" s="730" t="s">
        <v>165</v>
      </c>
      <c r="E3" s="730" t="s">
        <v>166</v>
      </c>
      <c r="F3" s="729" t="s">
        <v>161</v>
      </c>
    </row>
    <row r="4" spans="1:7" ht="33" customHeight="1" thickBot="1">
      <c r="A4" s="522" t="s">
        <v>114</v>
      </c>
      <c r="B4" s="529" t="s">
        <v>92</v>
      </c>
      <c r="C4" s="227">
        <f>C5+C7+C14+C16+C18+C17+C11+C19+C6</f>
        <v>179820</v>
      </c>
      <c r="D4" s="227">
        <f t="shared" ref="D4:E4" si="0">D5+D7+D14+D16+D18+D17+D11+D19+D6</f>
        <v>102000</v>
      </c>
      <c r="E4" s="227">
        <f t="shared" si="0"/>
        <v>77820</v>
      </c>
      <c r="F4" s="227">
        <f t="shared" ref="F4" si="1">F5+F7+F14+F16+F18+F17+F11</f>
        <v>0</v>
      </c>
    </row>
    <row r="5" spans="1:7" ht="28.9" customHeight="1">
      <c r="A5" s="523" t="s">
        <v>21</v>
      </c>
      <c r="B5" s="925" t="s">
        <v>183</v>
      </c>
      <c r="C5" s="449">
        <v>22000</v>
      </c>
      <c r="D5" s="1177">
        <v>0</v>
      </c>
      <c r="E5" s="449">
        <v>22000</v>
      </c>
      <c r="F5" s="1178">
        <v>0</v>
      </c>
      <c r="G5" s="90" t="s">
        <v>704</v>
      </c>
    </row>
    <row r="6" spans="1:7" ht="28.9" customHeight="1">
      <c r="A6" s="1090" t="s">
        <v>22</v>
      </c>
      <c r="B6" s="1091" t="s">
        <v>752</v>
      </c>
      <c r="C6" s="1092">
        <v>102000</v>
      </c>
      <c r="D6" s="1092">
        <v>102000</v>
      </c>
      <c r="E6" s="1092">
        <v>0</v>
      </c>
      <c r="F6" s="1093">
        <v>0</v>
      </c>
    </row>
    <row r="7" spans="1:7" ht="28.9" customHeight="1">
      <c r="A7" s="524" t="s">
        <v>146</v>
      </c>
      <c r="B7" s="530" t="s">
        <v>424</v>
      </c>
      <c r="C7" s="810">
        <f>SUM(C8:C10)</f>
        <v>1270</v>
      </c>
      <c r="D7" s="810">
        <f t="shared" ref="D7:F7" si="2">SUM(D8:D10)</f>
        <v>0</v>
      </c>
      <c r="E7" s="810">
        <f t="shared" si="2"/>
        <v>1270</v>
      </c>
      <c r="F7" s="451">
        <f t="shared" si="2"/>
        <v>0</v>
      </c>
    </row>
    <row r="8" spans="1:7" ht="28.9" customHeight="1">
      <c r="A8" s="524" t="s">
        <v>753</v>
      </c>
      <c r="B8" s="718" t="s">
        <v>94</v>
      </c>
      <c r="C8" s="280">
        <v>150</v>
      </c>
      <c r="D8" s="357">
        <v>0</v>
      </c>
      <c r="E8" s="280">
        <v>150</v>
      </c>
      <c r="F8" s="536">
        <v>0</v>
      </c>
      <c r="G8" s="90" t="s">
        <v>710</v>
      </c>
    </row>
    <row r="9" spans="1:7" ht="29.1" customHeight="1">
      <c r="A9" s="525" t="s">
        <v>754</v>
      </c>
      <c r="B9" s="718" t="s">
        <v>149</v>
      </c>
      <c r="C9" s="279">
        <v>120</v>
      </c>
      <c r="D9" s="357">
        <v>0</v>
      </c>
      <c r="E9" s="280">
        <f>C9</f>
        <v>120</v>
      </c>
      <c r="F9" s="535">
        <v>0</v>
      </c>
      <c r="G9" s="90" t="s">
        <v>712</v>
      </c>
    </row>
    <row r="10" spans="1:7" ht="28.9" customHeight="1">
      <c r="A10" s="703" t="s">
        <v>755</v>
      </c>
      <c r="B10" s="719" t="s">
        <v>373</v>
      </c>
      <c r="C10" s="704">
        <v>1000</v>
      </c>
      <c r="D10" s="705">
        <v>0</v>
      </c>
      <c r="E10" s="706">
        <v>1000</v>
      </c>
      <c r="F10" s="617">
        <v>0</v>
      </c>
      <c r="G10" s="90" t="s">
        <v>710</v>
      </c>
    </row>
    <row r="11" spans="1:7" ht="28.9" customHeight="1">
      <c r="A11" s="703" t="s">
        <v>147</v>
      </c>
      <c r="B11" s="531" t="s">
        <v>425</v>
      </c>
      <c r="C11" s="279">
        <f>SUM(C12:C13)</f>
        <v>3550</v>
      </c>
      <c r="D11" s="279">
        <f t="shared" ref="D11:F11" si="3">SUM(D12:D13)</f>
        <v>0</v>
      </c>
      <c r="E11" s="279">
        <f t="shared" si="3"/>
        <v>3550</v>
      </c>
      <c r="F11" s="537">
        <f t="shared" si="3"/>
        <v>0</v>
      </c>
    </row>
    <row r="12" spans="1:7" s="218" customFormat="1" ht="29.1" customHeight="1">
      <c r="A12" s="526" t="s">
        <v>756</v>
      </c>
      <c r="B12" s="720" t="s">
        <v>93</v>
      </c>
      <c r="C12" s="452">
        <v>3000</v>
      </c>
      <c r="D12" s="453">
        <v>0</v>
      </c>
      <c r="E12" s="278">
        <v>3000</v>
      </c>
      <c r="F12" s="454">
        <v>0</v>
      </c>
      <c r="G12" s="218" t="s">
        <v>710</v>
      </c>
    </row>
    <row r="13" spans="1:7" s="218" customFormat="1" ht="30.75" customHeight="1">
      <c r="A13" s="527" t="s">
        <v>757</v>
      </c>
      <c r="B13" s="721" t="s">
        <v>678</v>
      </c>
      <c r="C13" s="280">
        <v>550</v>
      </c>
      <c r="D13" s="355">
        <v>0</v>
      </c>
      <c r="E13" s="279">
        <v>550</v>
      </c>
      <c r="F13" s="356">
        <v>0</v>
      </c>
      <c r="G13" s="218" t="s">
        <v>710</v>
      </c>
    </row>
    <row r="14" spans="1:7" ht="28.9" customHeight="1">
      <c r="A14" s="528" t="s">
        <v>24</v>
      </c>
      <c r="B14" s="722" t="s">
        <v>95</v>
      </c>
      <c r="C14" s="810">
        <v>12000</v>
      </c>
      <c r="D14" s="811">
        <v>0</v>
      </c>
      <c r="E14" s="810">
        <f>C14</f>
        <v>12000</v>
      </c>
      <c r="F14" s="358">
        <v>0</v>
      </c>
      <c r="G14" s="90" t="s">
        <v>705</v>
      </c>
    </row>
    <row r="15" spans="1:7" ht="28.9" customHeight="1">
      <c r="A15" s="528" t="s">
        <v>25</v>
      </c>
      <c r="B15" s="722" t="s">
        <v>984</v>
      </c>
      <c r="C15" s="1195">
        <v>1000</v>
      </c>
      <c r="D15" s="1196"/>
      <c r="E15" s="1195">
        <v>1000</v>
      </c>
      <c r="F15" s="358"/>
    </row>
    <row r="16" spans="1:7" ht="28.9" customHeight="1">
      <c r="A16" s="528" t="s">
        <v>26</v>
      </c>
      <c r="B16" s="723" t="s">
        <v>132</v>
      </c>
      <c r="C16" s="810">
        <v>4000</v>
      </c>
      <c r="D16" s="811">
        <v>0</v>
      </c>
      <c r="E16" s="810">
        <f t="shared" ref="E16:E17" si="4">C16</f>
        <v>4000</v>
      </c>
      <c r="F16" s="358">
        <v>0</v>
      </c>
      <c r="G16" s="90" t="s">
        <v>705</v>
      </c>
    </row>
    <row r="17" spans="1:7" s="218" customFormat="1" ht="28.9" customHeight="1">
      <c r="A17" s="528" t="s">
        <v>27</v>
      </c>
      <c r="B17" s="722" t="s">
        <v>107</v>
      </c>
      <c r="C17" s="810">
        <v>3000</v>
      </c>
      <c r="D17" s="812">
        <v>0</v>
      </c>
      <c r="E17" s="810">
        <f t="shared" si="4"/>
        <v>3000</v>
      </c>
      <c r="F17" s="359">
        <v>0</v>
      </c>
      <c r="G17" s="90" t="s">
        <v>705</v>
      </c>
    </row>
    <row r="18" spans="1:7" ht="28.9" customHeight="1">
      <c r="A18" s="528" t="s">
        <v>28</v>
      </c>
      <c r="B18" s="723" t="s">
        <v>358</v>
      </c>
      <c r="C18" s="810">
        <v>2000</v>
      </c>
      <c r="D18" s="811">
        <v>0</v>
      </c>
      <c r="E18" s="810">
        <v>2000</v>
      </c>
      <c r="F18" s="358">
        <v>0</v>
      </c>
      <c r="G18" s="90" t="s">
        <v>710</v>
      </c>
    </row>
    <row r="19" spans="1:7" ht="28.9" customHeight="1" thickBot="1">
      <c r="A19" s="528" t="s">
        <v>29</v>
      </c>
      <c r="B19" s="995" t="s">
        <v>684</v>
      </c>
      <c r="C19" s="996">
        <v>30000</v>
      </c>
      <c r="D19" s="997">
        <v>0</v>
      </c>
      <c r="E19" s="996">
        <f>C19</f>
        <v>30000</v>
      </c>
      <c r="F19" s="998">
        <v>0</v>
      </c>
    </row>
    <row r="20" spans="1:7" s="217" customFormat="1" ht="33" customHeight="1" thickBot="1">
      <c r="A20" s="522" t="s">
        <v>96</v>
      </c>
      <c r="B20" s="532" t="s">
        <v>98</v>
      </c>
      <c r="C20" s="227">
        <f>SUM(C21:C22)</f>
        <v>151789</v>
      </c>
      <c r="D20" s="227">
        <f t="shared" ref="D20:E20" si="5">SUM(D21:D22)</f>
        <v>0</v>
      </c>
      <c r="E20" s="227">
        <f t="shared" si="5"/>
        <v>151789</v>
      </c>
      <c r="F20" s="228">
        <f>SUM(F21:F21)</f>
        <v>0</v>
      </c>
    </row>
    <row r="21" spans="1:7" ht="28.9" customHeight="1">
      <c r="A21" s="528" t="s">
        <v>21</v>
      </c>
      <c r="B21" s="723" t="s">
        <v>99</v>
      </c>
      <c r="C21" s="810">
        <v>5000</v>
      </c>
      <c r="D21" s="811">
        <v>0</v>
      </c>
      <c r="E21" s="810">
        <v>5000</v>
      </c>
      <c r="F21" s="358">
        <v>0</v>
      </c>
      <c r="G21" s="90" t="s">
        <v>713</v>
      </c>
    </row>
    <row r="22" spans="1:7" ht="28.9" customHeight="1" thickBot="1">
      <c r="A22" s="836" t="s">
        <v>22</v>
      </c>
      <c r="B22" s="995" t="s">
        <v>780</v>
      </c>
      <c r="C22" s="996">
        <v>146789</v>
      </c>
      <c r="D22" s="997">
        <v>0</v>
      </c>
      <c r="E22" s="996">
        <v>146789</v>
      </c>
      <c r="F22" s="998">
        <v>0</v>
      </c>
    </row>
    <row r="23" spans="1:7" ht="33" customHeight="1" thickBot="1">
      <c r="A23" s="230"/>
      <c r="B23" s="533" t="s">
        <v>100</v>
      </c>
      <c r="C23" s="229">
        <f>C4+C20</f>
        <v>331609</v>
      </c>
      <c r="D23" s="229">
        <f>D4+D20</f>
        <v>102000</v>
      </c>
      <c r="E23" s="229">
        <f>E4+E20</f>
        <v>229609</v>
      </c>
      <c r="F23" s="534">
        <f>F4+F20</f>
        <v>0</v>
      </c>
    </row>
    <row r="24" spans="1:7" ht="26.25" customHeight="1">
      <c r="A24" s="219"/>
      <c r="B24" s="219"/>
      <c r="C24" s="220"/>
    </row>
    <row r="25" spans="1:7" ht="23.25" customHeight="1">
      <c r="A25" s="219"/>
      <c r="B25" s="221"/>
      <c r="C25" s="220"/>
    </row>
    <row r="26" spans="1:7" ht="21" customHeight="1">
      <c r="A26" s="219"/>
      <c r="B26" s="221"/>
      <c r="C26" s="220"/>
    </row>
    <row r="27" spans="1:7" ht="30.75" hidden="1" customHeight="1">
      <c r="A27" s="219"/>
      <c r="B27" s="221"/>
      <c r="C27" s="220"/>
    </row>
    <row r="28" spans="1:7" ht="23.25" customHeight="1">
      <c r="A28" s="219"/>
      <c r="B28" s="221"/>
      <c r="C28" s="220"/>
    </row>
    <row r="29" spans="1:7" ht="20.25" customHeight="1">
      <c r="A29" s="219"/>
      <c r="B29" s="221"/>
      <c r="C29" s="220"/>
    </row>
    <row r="30" spans="1:7" ht="22.5" hidden="1" customHeight="1">
      <c r="A30" s="219"/>
      <c r="B30" s="221"/>
      <c r="C30" s="220"/>
    </row>
    <row r="31" spans="1:7" ht="28.5" hidden="1" customHeight="1">
      <c r="A31" s="219"/>
      <c r="B31" s="221"/>
      <c r="C31" s="220"/>
    </row>
    <row r="32" spans="1:7" ht="27.75" hidden="1" customHeight="1">
      <c r="A32" s="219"/>
      <c r="B32" s="221"/>
      <c r="C32" s="220"/>
    </row>
    <row r="33" spans="1:3" ht="23.25" customHeight="1">
      <c r="A33" s="221"/>
      <c r="B33" s="219"/>
      <c r="C33" s="222"/>
    </row>
    <row r="35" spans="1:3">
      <c r="B35" s="224"/>
    </row>
    <row r="36" spans="1:3">
      <c r="B36" s="224"/>
    </row>
    <row r="37" spans="1:3">
      <c r="B37" s="224"/>
    </row>
  </sheetData>
  <mergeCells count="2">
    <mergeCell ref="A2:B2"/>
    <mergeCell ref="A1:F1"/>
  </mergeCells>
  <phoneticPr fontId="5" type="noConversion"/>
  <printOptions horizontalCentered="1"/>
  <pageMargins left="0.70866141732283472" right="0.70866141732283472" top="0.78740157480314965" bottom="0.78740157480314965" header="0.39370078740157483" footer="0.70866141732283472"/>
  <pageSetup paperSize="9" scale="49" orientation="portrait" r:id="rId1"/>
  <headerFooter alignWithMargins="0">
    <oddHeader xml:space="preserve">&amp;L&amp;"Arial,Dőlt"&amp;9 &amp;U10. melléklet a  2/2020. (II.14.) önkormányzati rendelethez
</oddHeader>
    <oddFooter xml:space="preserve">&amp;C&amp;9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/>
  </sheetPr>
  <dimension ref="A2:F23"/>
  <sheetViews>
    <sheetView view="pageLayout" zoomScaleNormal="100" zoomScaleSheetLayoutView="100" workbookViewId="0">
      <selection activeCell="B6" sqref="B6"/>
    </sheetView>
  </sheetViews>
  <sheetFormatPr defaultColWidth="9.140625" defaultRowHeight="15"/>
  <cols>
    <col min="1" max="1" width="7" style="90" customWidth="1"/>
    <col min="2" max="2" width="54" style="90" bestFit="1" customWidth="1"/>
    <col min="3" max="3" width="18.7109375" style="231" customWidth="1"/>
    <col min="4" max="4" width="23.42578125" style="90" customWidth="1"/>
    <col min="5" max="16384" width="9.140625" style="90"/>
  </cols>
  <sheetData>
    <row r="2" spans="1:6" ht="36" customHeight="1">
      <c r="A2" s="1348" t="s">
        <v>341</v>
      </c>
      <c r="B2" s="1348"/>
      <c r="C2" s="1348"/>
    </row>
    <row r="3" spans="1:6" ht="14.25" customHeight="1" thickBot="1">
      <c r="A3" s="1056"/>
      <c r="B3" s="1056"/>
      <c r="C3" s="1068" t="s">
        <v>692</v>
      </c>
    </row>
    <row r="4" spans="1:6" ht="47.25" customHeight="1" thickBot="1">
      <c r="A4" s="1347" t="s">
        <v>284</v>
      </c>
      <c r="B4" s="1347"/>
      <c r="C4" s="1067" t="s">
        <v>148</v>
      </c>
    </row>
    <row r="5" spans="1:6" ht="15.75" thickBot="1">
      <c r="A5" s="411" t="s">
        <v>21</v>
      </c>
      <c r="B5" s="724" t="s">
        <v>721</v>
      </c>
      <c r="C5" s="412">
        <v>22000</v>
      </c>
    </row>
    <row r="6" spans="1:6" ht="27.75" customHeight="1" thickBot="1">
      <c r="A6" s="975" t="s">
        <v>22</v>
      </c>
      <c r="B6" s="724" t="s">
        <v>111</v>
      </c>
      <c r="C6" s="976">
        <v>1000</v>
      </c>
      <c r="D6" s="90" t="s">
        <v>710</v>
      </c>
    </row>
    <row r="7" spans="1:6" ht="27.75" customHeight="1" thickBot="1">
      <c r="A7" s="411" t="s">
        <v>23</v>
      </c>
      <c r="B7" s="724" t="s">
        <v>428</v>
      </c>
      <c r="C7" s="412">
        <f>2000+46093</f>
        <v>48093</v>
      </c>
      <c r="D7" s="90" t="s">
        <v>772</v>
      </c>
    </row>
    <row r="8" spans="1:6" ht="47.25" customHeight="1" thickBot="1">
      <c r="A8" s="411" t="s">
        <v>24</v>
      </c>
      <c r="B8" s="724" t="s">
        <v>762</v>
      </c>
      <c r="C8" s="412">
        <v>226555</v>
      </c>
    </row>
    <row r="9" spans="1:6" ht="27.75" customHeight="1" thickBot="1">
      <c r="A9" s="440" t="s">
        <v>55</v>
      </c>
      <c r="B9" s="441" t="s">
        <v>340</v>
      </c>
      <c r="C9" s="442">
        <f>SUM(C5:C8)</f>
        <v>297648</v>
      </c>
    </row>
    <row r="10" spans="1:6" ht="27.75" hidden="1" customHeight="1" thickBot="1">
      <c r="A10" s="975" t="s">
        <v>25</v>
      </c>
      <c r="B10" s="724"/>
      <c r="C10" s="412" t="s">
        <v>55</v>
      </c>
    </row>
    <row r="11" spans="1:6" ht="27.75" customHeight="1" thickBot="1">
      <c r="A11" s="975" t="s">
        <v>25</v>
      </c>
      <c r="B11" s="724" t="s">
        <v>720</v>
      </c>
      <c r="C11" s="976">
        <f>115000-25000</f>
        <v>90000</v>
      </c>
    </row>
    <row r="12" spans="1:6" ht="31.5" customHeight="1" thickBot="1">
      <c r="A12" s="975" t="s">
        <v>26</v>
      </c>
      <c r="B12" s="724" t="s">
        <v>691</v>
      </c>
      <c r="C12" s="976">
        <v>2000</v>
      </c>
      <c r="F12" s="90" t="s">
        <v>55</v>
      </c>
    </row>
    <row r="13" spans="1:6" ht="33.75" customHeight="1" thickBot="1">
      <c r="A13" s="975" t="s">
        <v>27</v>
      </c>
      <c r="B13" s="724" t="s">
        <v>159</v>
      </c>
      <c r="C13" s="412">
        <f>78000+312479</f>
        <v>390479</v>
      </c>
      <c r="D13" s="90" t="s">
        <v>722</v>
      </c>
    </row>
    <row r="14" spans="1:6" ht="27.75" customHeight="1" thickBot="1">
      <c r="A14" s="975" t="s">
        <v>28</v>
      </c>
      <c r="B14" s="724" t="s">
        <v>157</v>
      </c>
      <c r="C14" s="412">
        <v>5000</v>
      </c>
    </row>
    <row r="15" spans="1:6" s="115" customFormat="1" ht="27.75" customHeight="1" thickBot="1">
      <c r="A15" s="443"/>
      <c r="B15" s="441" t="s">
        <v>283</v>
      </c>
      <c r="C15" s="442">
        <f>SUM(C10:C14)</f>
        <v>487479</v>
      </c>
      <c r="D15" s="232"/>
    </row>
    <row r="16" spans="1:6" s="115" customFormat="1" ht="27.75" customHeight="1" thickBot="1">
      <c r="A16" s="444"/>
      <c r="B16" s="445" t="s">
        <v>280</v>
      </c>
      <c r="C16" s="446">
        <f>C9+C15</f>
        <v>785127</v>
      </c>
    </row>
    <row r="17" spans="1:3" s="115" customFormat="1" ht="27.75" customHeight="1" thickBot="1">
      <c r="A17" s="513" t="s">
        <v>36</v>
      </c>
      <c r="B17" s="447" t="s">
        <v>101</v>
      </c>
      <c r="C17" s="446">
        <v>20000</v>
      </c>
    </row>
    <row r="18" spans="1:3">
      <c r="C18" s="233"/>
    </row>
    <row r="19" spans="1:3" ht="27" customHeight="1">
      <c r="C19" s="233"/>
    </row>
    <row r="20" spans="1:3" ht="26.25" customHeight="1">
      <c r="C20" s="234"/>
    </row>
    <row r="21" spans="1:3" ht="26.25" customHeight="1"/>
    <row r="22" spans="1:3" ht="26.25" customHeight="1">
      <c r="C22" s="233"/>
    </row>
    <row r="23" spans="1:3" ht="26.25" customHeight="1">
      <c r="C23" s="233"/>
    </row>
  </sheetData>
  <mergeCells count="2">
    <mergeCell ref="A4:B4"/>
    <mergeCell ref="A2:C2"/>
  </mergeCells>
  <phoneticPr fontId="5" type="noConversion"/>
  <printOptions horizontalCentered="1"/>
  <pageMargins left="0.70866141732283472" right="0.70866141732283472" top="0.78740157480314965" bottom="0.78740157480314965" header="0.51181102362204722" footer="0.31496062992125984"/>
  <pageSetup paperSize="9" scale="85" orientation="portrait" r:id="rId1"/>
  <headerFooter alignWithMargins="0">
    <oddHeader>&amp;L&amp;"Arial,Dőlt"&amp;9 &amp;U11. melléklet a   2/2020. (II.14.) önkormányzati rendelethez</oddHeader>
    <oddFooter xml:space="preserve">&amp;C&amp;9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/>
  </sheetPr>
  <dimension ref="A1:C15"/>
  <sheetViews>
    <sheetView view="pageLayout" zoomScaleNormal="100" zoomScaleSheetLayoutView="100" workbookViewId="0">
      <selection activeCell="B9" sqref="B9"/>
    </sheetView>
  </sheetViews>
  <sheetFormatPr defaultColWidth="18.5703125" defaultRowHeight="15"/>
  <cols>
    <col min="1" max="1" width="7.42578125" style="239" customWidth="1"/>
    <col min="2" max="2" width="43.7109375" style="236" customWidth="1"/>
    <col min="3" max="3" width="16.85546875" style="236" customWidth="1"/>
    <col min="4" max="16384" width="18.5703125" style="236"/>
  </cols>
  <sheetData>
    <row r="1" spans="1:3" ht="21.6" customHeight="1">
      <c r="A1" s="1349" t="s">
        <v>342</v>
      </c>
      <c r="B1" s="1349"/>
      <c r="C1" s="1349"/>
    </row>
    <row r="2" spans="1:3" ht="23.45" customHeight="1" thickBot="1">
      <c r="A2" s="293"/>
      <c r="B2" s="293"/>
      <c r="C2" s="293"/>
    </row>
    <row r="3" spans="1:3" s="237" customFormat="1" ht="39" customHeight="1">
      <c r="A3" s="1354" t="s">
        <v>35</v>
      </c>
      <c r="B3" s="1352" t="s">
        <v>30</v>
      </c>
      <c r="C3" s="1356" t="s">
        <v>541</v>
      </c>
    </row>
    <row r="4" spans="1:3" s="237" customFormat="1" ht="22.5" customHeight="1" thickBot="1">
      <c r="A4" s="1355"/>
      <c r="B4" s="1353"/>
      <c r="C4" s="1357"/>
    </row>
    <row r="5" spans="1:3" s="238" customFormat="1" ht="17.25" hidden="1" customHeight="1">
      <c r="A5" s="297"/>
      <c r="B5" s="298" t="s">
        <v>31</v>
      </c>
      <c r="C5" s="822"/>
    </row>
    <row r="6" spans="1:3" s="238" customFormat="1" ht="17.25" hidden="1" customHeight="1">
      <c r="A6" s="294"/>
      <c r="B6" s="823" t="s">
        <v>32</v>
      </c>
      <c r="C6" s="824"/>
    </row>
    <row r="7" spans="1:3" s="237" customFormat="1" ht="34.9" customHeight="1">
      <c r="A7" s="295" t="s">
        <v>21</v>
      </c>
      <c r="B7" s="825" t="s">
        <v>275</v>
      </c>
      <c r="C7" s="826">
        <f>SUM(C8:C11)</f>
        <v>226</v>
      </c>
    </row>
    <row r="8" spans="1:3" s="241" customFormat="1" ht="27" customHeight="1">
      <c r="A8" s="296" t="s">
        <v>124</v>
      </c>
      <c r="B8" s="827" t="s">
        <v>294</v>
      </c>
      <c r="C8" s="912">
        <v>24</v>
      </c>
    </row>
    <row r="9" spans="1:3" s="241" customFormat="1" ht="27" customHeight="1">
      <c r="A9" s="296" t="s">
        <v>125</v>
      </c>
      <c r="B9" s="827" t="s">
        <v>293</v>
      </c>
      <c r="C9" s="828">
        <v>85</v>
      </c>
    </row>
    <row r="10" spans="1:3" s="241" customFormat="1" ht="27" customHeight="1">
      <c r="A10" s="296" t="s">
        <v>136</v>
      </c>
      <c r="B10" s="827" t="s">
        <v>386</v>
      </c>
      <c r="C10" s="912">
        <v>84</v>
      </c>
    </row>
    <row r="11" spans="1:3" s="241" customFormat="1" ht="27" customHeight="1">
      <c r="A11" s="296" t="s">
        <v>137</v>
      </c>
      <c r="B11" s="827" t="s">
        <v>275</v>
      </c>
      <c r="C11" s="828">
        <v>33</v>
      </c>
    </row>
    <row r="12" spans="1:3" s="238" customFormat="1" ht="34.9" customHeight="1">
      <c r="A12" s="295" t="s">
        <v>22</v>
      </c>
      <c r="B12" s="825" t="s">
        <v>89</v>
      </c>
      <c r="C12" s="826">
        <v>2</v>
      </c>
    </row>
    <row r="13" spans="1:3" ht="34.9" customHeight="1" thickBot="1">
      <c r="A13" s="829" t="s">
        <v>23</v>
      </c>
      <c r="B13" s="830" t="s">
        <v>33</v>
      </c>
      <c r="C13" s="831">
        <v>59</v>
      </c>
    </row>
    <row r="14" spans="1:3" ht="34.9" customHeight="1" thickBot="1">
      <c r="A14" s="1350" t="s">
        <v>34</v>
      </c>
      <c r="B14" s="1351"/>
      <c r="C14" s="832">
        <f>SUM(C7,C12,C13)</f>
        <v>287</v>
      </c>
    </row>
    <row r="15" spans="1:3" ht="15.75" customHeight="1">
      <c r="B15" s="240"/>
      <c r="C15" s="240"/>
    </row>
  </sheetData>
  <mergeCells count="5">
    <mergeCell ref="A1:C1"/>
    <mergeCell ref="A14:B14"/>
    <mergeCell ref="B3:B4"/>
    <mergeCell ref="A3:A4"/>
    <mergeCell ref="C3:C4"/>
  </mergeCells>
  <phoneticPr fontId="5" type="noConversion"/>
  <printOptions horizontalCentered="1"/>
  <pageMargins left="0.70866141732283472" right="0.70866141732283472" top="0.98425196850393704" bottom="0.78740157480314965" header="0.47244094488188981" footer="0.27559055118110237"/>
  <pageSetup paperSize="9" orientation="portrait" r:id="rId1"/>
  <headerFooter alignWithMargins="0">
    <oddHeader xml:space="preserve">&amp;L&amp;"Arial,Dőlt"&amp;U12. melléklet a   2/2020. (II.14.) önkormányzati rendelethez&amp;C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K30"/>
  <sheetViews>
    <sheetView view="pageLayout" zoomScaleNormal="100" zoomScaleSheetLayoutView="100" workbookViewId="0">
      <selection activeCell="B8" sqref="B8"/>
    </sheetView>
  </sheetViews>
  <sheetFormatPr defaultColWidth="12.7109375" defaultRowHeight="15"/>
  <cols>
    <col min="1" max="1" width="10" style="134" customWidth="1"/>
    <col min="2" max="2" width="43.28515625" style="210" customWidth="1"/>
    <col min="3" max="3" width="15.7109375" style="115" customWidth="1"/>
    <col min="4" max="7" width="13.85546875" style="115" hidden="1" customWidth="1"/>
    <col min="8" max="8" width="15.28515625" style="115" customWidth="1"/>
    <col min="9" max="10" width="15.85546875" style="115" customWidth="1"/>
    <col min="11" max="16384" width="12.7109375" style="115"/>
  </cols>
  <sheetData>
    <row r="1" spans="1:11" s="198" customFormat="1" ht="29.25" customHeight="1">
      <c r="A1" s="1358" t="s">
        <v>345</v>
      </c>
      <c r="B1" s="1358"/>
      <c r="C1" s="1358"/>
      <c r="D1" s="1358"/>
      <c r="E1" s="1358"/>
      <c r="F1" s="1358"/>
      <c r="G1" s="1359"/>
      <c r="H1" s="1359"/>
      <c r="I1" s="1359"/>
      <c r="J1" s="1359"/>
    </row>
    <row r="2" spans="1:11" s="198" customFormat="1" ht="18.75" customHeight="1" thickBot="1">
      <c r="A2" s="1057"/>
      <c r="B2" s="1057"/>
      <c r="C2" s="1057"/>
      <c r="D2" s="1057"/>
      <c r="E2" s="1057"/>
      <c r="F2" s="1057"/>
      <c r="G2" s="1058"/>
      <c r="H2" s="1058"/>
      <c r="I2" s="1058"/>
      <c r="J2" s="1069" t="s">
        <v>692</v>
      </c>
    </row>
    <row r="3" spans="1:11" s="242" customFormat="1" ht="25.5" customHeight="1">
      <c r="A3" s="1364" t="s">
        <v>129</v>
      </c>
      <c r="B3" s="1360" t="s">
        <v>37</v>
      </c>
      <c r="C3" s="1375" t="s">
        <v>148</v>
      </c>
      <c r="D3" s="1360" t="s">
        <v>91</v>
      </c>
      <c r="E3" s="1360" t="s">
        <v>104</v>
      </c>
      <c r="F3" s="1360" t="s">
        <v>91</v>
      </c>
      <c r="G3" s="1360" t="s">
        <v>104</v>
      </c>
      <c r="H3" s="1371" t="s">
        <v>165</v>
      </c>
      <c r="I3" s="1373" t="s">
        <v>166</v>
      </c>
      <c r="J3" s="1369" t="s">
        <v>161</v>
      </c>
    </row>
    <row r="4" spans="1:11" s="242" customFormat="1" ht="31.5" customHeight="1" thickBot="1">
      <c r="A4" s="1365"/>
      <c r="B4" s="1361"/>
      <c r="C4" s="1376"/>
      <c r="D4" s="1361"/>
      <c r="E4" s="1361"/>
      <c r="F4" s="1361"/>
      <c r="G4" s="1361"/>
      <c r="H4" s="1372"/>
      <c r="I4" s="1374"/>
      <c r="J4" s="1370"/>
    </row>
    <row r="5" spans="1:11" s="243" customFormat="1" ht="33" customHeight="1">
      <c r="A5" s="696" t="s">
        <v>66</v>
      </c>
      <c r="B5" s="697" t="s">
        <v>53</v>
      </c>
      <c r="C5" s="1366" t="s">
        <v>55</v>
      </c>
      <c r="D5" s="1367"/>
      <c r="E5" s="1367"/>
      <c r="F5" s="1367"/>
      <c r="G5" s="1367"/>
      <c r="H5" s="1367"/>
      <c r="I5" s="1367"/>
      <c r="J5" s="1368"/>
    </row>
    <row r="6" spans="1:11" s="243" customFormat="1" ht="33" customHeight="1">
      <c r="A6" s="813" t="s">
        <v>21</v>
      </c>
      <c r="B6" s="814" t="s">
        <v>524</v>
      </c>
      <c r="C6" s="794">
        <v>7000</v>
      </c>
      <c r="D6" s="815"/>
      <c r="E6" s="815"/>
      <c r="F6" s="815"/>
      <c r="G6" s="815"/>
      <c r="H6" s="794">
        <v>7000</v>
      </c>
      <c r="I6" s="815"/>
      <c r="J6" s="816"/>
    </row>
    <row r="7" spans="1:11" s="245" customFormat="1" ht="27" customHeight="1">
      <c r="A7" s="698" t="s">
        <v>22</v>
      </c>
      <c r="B7" s="725" t="s">
        <v>384</v>
      </c>
      <c r="C7" s="700">
        <v>8200</v>
      </c>
      <c r="D7" s="699"/>
      <c r="E7" s="700"/>
      <c r="F7" s="700"/>
      <c r="G7" s="700"/>
      <c r="H7" s="700"/>
      <c r="I7" s="701">
        <v>8200</v>
      </c>
      <c r="J7" s="702">
        <v>0</v>
      </c>
    </row>
    <row r="8" spans="1:11" s="245" customFormat="1" ht="27" customHeight="1">
      <c r="A8" s="244" t="s">
        <v>23</v>
      </c>
      <c r="B8" s="814" t="s">
        <v>285</v>
      </c>
      <c r="C8" s="794">
        <v>2500</v>
      </c>
      <c r="D8" s="817"/>
      <c r="E8" s="794"/>
      <c r="F8" s="794"/>
      <c r="G8" s="794"/>
      <c r="H8" s="794">
        <v>2500</v>
      </c>
      <c r="I8" s="818"/>
      <c r="J8" s="360">
        <v>0</v>
      </c>
    </row>
    <row r="9" spans="1:11" s="245" customFormat="1" ht="27" customHeight="1">
      <c r="A9" s="244" t="s">
        <v>24</v>
      </c>
      <c r="B9" s="819" t="s">
        <v>374</v>
      </c>
      <c r="C9" s="820">
        <v>1000</v>
      </c>
      <c r="D9" s="820"/>
      <c r="E9" s="820"/>
      <c r="F9" s="820"/>
      <c r="G9" s="820"/>
      <c r="H9" s="820"/>
      <c r="I9" s="820">
        <v>1000</v>
      </c>
      <c r="J9" s="821">
        <v>0</v>
      </c>
    </row>
    <row r="10" spans="1:11" s="245" customFormat="1" ht="27" customHeight="1">
      <c r="A10" s="244" t="s">
        <v>25</v>
      </c>
      <c r="B10" s="814" t="s">
        <v>383</v>
      </c>
      <c r="C10" s="794">
        <v>15000</v>
      </c>
      <c r="D10" s="817"/>
      <c r="E10" s="794"/>
      <c r="F10" s="794"/>
      <c r="G10" s="794"/>
      <c r="H10" s="794"/>
      <c r="I10" s="818">
        <v>15000</v>
      </c>
      <c r="J10" s="360">
        <v>0</v>
      </c>
    </row>
    <row r="11" spans="1:11" s="245" customFormat="1" ht="27" customHeight="1" thickBot="1">
      <c r="A11" s="379" t="s">
        <v>26</v>
      </c>
      <c r="B11" s="726" t="s">
        <v>385</v>
      </c>
      <c r="C11" s="381">
        <v>5000</v>
      </c>
      <c r="D11" s="380"/>
      <c r="E11" s="381"/>
      <c r="F11" s="381"/>
      <c r="G11" s="381"/>
      <c r="H11" s="381"/>
      <c r="I11" s="382">
        <v>5000</v>
      </c>
      <c r="J11" s="383">
        <v>0</v>
      </c>
    </row>
    <row r="12" spans="1:11" s="247" customFormat="1" ht="33" customHeight="1" thickBot="1">
      <c r="A12" s="1362" t="s">
        <v>105</v>
      </c>
      <c r="B12" s="1363"/>
      <c r="C12" s="246">
        <f>SUM(C6:C11)</f>
        <v>38700</v>
      </c>
      <c r="D12" s="246">
        <f t="shared" ref="D12:H12" si="0">SUM(D6:D11)</f>
        <v>0</v>
      </c>
      <c r="E12" s="246">
        <f t="shared" si="0"/>
        <v>0</v>
      </c>
      <c r="F12" s="246">
        <f t="shared" si="0"/>
        <v>0</v>
      </c>
      <c r="G12" s="246">
        <f t="shared" si="0"/>
        <v>0</v>
      </c>
      <c r="H12" s="246">
        <f t="shared" si="0"/>
        <v>9500</v>
      </c>
      <c r="I12" s="246">
        <f>SUM(I7:I11)</f>
        <v>29200</v>
      </c>
      <c r="J12" s="252">
        <f>SUM(J7:J11)</f>
        <v>0</v>
      </c>
      <c r="K12" s="247" t="s">
        <v>710</v>
      </c>
    </row>
    <row r="13" spans="1:11" ht="22.5" customHeight="1"/>
    <row r="14" spans="1:11" ht="19.5" customHeight="1">
      <c r="B14" s="115"/>
    </row>
    <row r="15" spans="1:11" ht="41.25" customHeight="1"/>
    <row r="16" spans="1:11" ht="22.5" customHeight="1">
      <c r="B16" s="248"/>
      <c r="C16" s="249"/>
      <c r="D16" s="249"/>
      <c r="E16" s="250"/>
    </row>
    <row r="17" spans="1:7" ht="22.5" customHeight="1">
      <c r="C17" s="209"/>
      <c r="D17" s="248"/>
      <c r="E17" s="249"/>
      <c r="F17" s="250"/>
      <c r="G17" s="249"/>
    </row>
    <row r="18" spans="1:7" s="136" customFormat="1" ht="17.25" customHeight="1">
      <c r="A18" s="113"/>
      <c r="B18" s="204"/>
      <c r="C18" s="251"/>
      <c r="D18" s="251"/>
      <c r="E18" s="251"/>
      <c r="F18" s="250"/>
      <c r="G18" s="251"/>
    </row>
    <row r="19" spans="1:7" s="136" customFormat="1" ht="17.25" customHeight="1">
      <c r="A19" s="113"/>
      <c r="B19" s="204"/>
      <c r="C19" s="251"/>
      <c r="D19" s="251"/>
      <c r="E19" s="251"/>
      <c r="F19" s="250"/>
      <c r="G19" s="251"/>
    </row>
    <row r="20" spans="1:7" s="136" customFormat="1" ht="17.25" customHeight="1">
      <c r="A20" s="113"/>
      <c r="B20" s="204"/>
      <c r="C20" s="248"/>
      <c r="D20" s="248"/>
      <c r="E20" s="251"/>
      <c r="F20" s="250"/>
      <c r="G20" s="251"/>
    </row>
    <row r="21" spans="1:7" ht="18.75" customHeight="1">
      <c r="B21" s="204"/>
    </row>
    <row r="22" spans="1:7" ht="18.75" customHeight="1">
      <c r="C22" s="209"/>
      <c r="D22" s="209"/>
    </row>
    <row r="23" spans="1:7" ht="18.75" customHeight="1">
      <c r="C23" s="209"/>
      <c r="D23" s="209"/>
    </row>
    <row r="24" spans="1:7" ht="18.75" customHeight="1">
      <c r="C24" s="209"/>
      <c r="D24" s="209"/>
    </row>
    <row r="25" spans="1:7" ht="18.75" customHeight="1">
      <c r="C25" s="209"/>
      <c r="D25" s="209"/>
    </row>
    <row r="26" spans="1:7" ht="18.75" customHeight="1">
      <c r="B26" s="204"/>
      <c r="C26" s="206"/>
      <c r="D26" s="206"/>
    </row>
    <row r="27" spans="1:7" s="136" customFormat="1" ht="51.75" customHeight="1">
      <c r="A27" s="113"/>
      <c r="B27" s="211"/>
      <c r="D27" s="206"/>
    </row>
    <row r="28" spans="1:7" ht="27" customHeight="1">
      <c r="C28" s="210"/>
      <c r="D28" s="210"/>
    </row>
    <row r="29" spans="1:7" ht="18.75" customHeight="1"/>
    <row r="30" spans="1:7" ht="18.75" customHeight="1"/>
  </sheetData>
  <protectedRanges>
    <protectedRange sqref="F9 H9:I9 D10:H11 H7:H8 C6:C11 D6:G8 C5:G5" name="Tartomány4_1"/>
    <protectedRange sqref="C12:J12" name="Tartomány14_1"/>
  </protectedRanges>
  <mergeCells count="13">
    <mergeCell ref="A1:J1"/>
    <mergeCell ref="G3:G4"/>
    <mergeCell ref="A12:B12"/>
    <mergeCell ref="A3:A4"/>
    <mergeCell ref="B3:B4"/>
    <mergeCell ref="D3:D4"/>
    <mergeCell ref="E3:E4"/>
    <mergeCell ref="F3:F4"/>
    <mergeCell ref="C5:J5"/>
    <mergeCell ref="J3:J4"/>
    <mergeCell ref="H3:H4"/>
    <mergeCell ref="I3:I4"/>
    <mergeCell ref="C3:C4"/>
  </mergeCells>
  <phoneticPr fontId="5" type="noConversion"/>
  <printOptions horizontalCentered="1"/>
  <pageMargins left="0.70866141732283472" right="0.70866141732283472" top="0.78740157480314965" bottom="0.78740157480314965" header="0.31496062992125984" footer="0.27559055118110237"/>
  <pageSetup paperSize="9" scale="94" orientation="landscape" r:id="rId1"/>
  <headerFooter alignWithMargins="0">
    <oddHeader>&amp;L&amp;"Arial,Dőlt"&amp;9 &amp;U13. melléklet a   2/2020. (II.14.) önkormányzati rendelethez</oddHeader>
    <oddFooter xml:space="preserve">&amp;C&amp;9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B1:F35"/>
  <sheetViews>
    <sheetView view="pageLayout" zoomScale="110" zoomScaleNormal="100" zoomScaleSheetLayoutView="100" zoomScalePageLayoutView="110" workbookViewId="0">
      <selection activeCell="B6" sqref="B6"/>
    </sheetView>
  </sheetViews>
  <sheetFormatPr defaultColWidth="9.140625" defaultRowHeight="15"/>
  <cols>
    <col min="1" max="1" width="0.28515625" style="115" customWidth="1"/>
    <col min="2" max="2" width="57.140625" style="115" customWidth="1"/>
    <col min="3" max="6" width="14.7109375" style="209" customWidth="1"/>
    <col min="7" max="8" width="6.28515625" style="115" customWidth="1"/>
    <col min="9" max="16384" width="9.140625" style="115"/>
  </cols>
  <sheetData>
    <row r="1" spans="2:6" ht="1.5" customHeight="1">
      <c r="B1" s="216"/>
      <c r="C1" s="253"/>
      <c r="D1" s="253"/>
      <c r="E1" s="253"/>
      <c r="F1" s="253"/>
    </row>
    <row r="2" spans="2:6" ht="12" hidden="1" customHeight="1"/>
    <row r="3" spans="2:6" ht="38.25" customHeight="1">
      <c r="B3" s="1348" t="s">
        <v>971</v>
      </c>
      <c r="C3" s="1379"/>
      <c r="D3" s="1379"/>
      <c r="E3" s="1379"/>
      <c r="F3" s="1379"/>
    </row>
    <row r="4" spans="2:6" ht="18" customHeight="1" thickBot="1">
      <c r="B4" s="215"/>
      <c r="C4" s="254"/>
      <c r="D4" s="254"/>
      <c r="E4" s="254"/>
      <c r="F4" s="1070" t="s">
        <v>692</v>
      </c>
    </row>
    <row r="5" spans="2:6" ht="45" customHeight="1" thickBot="1">
      <c r="B5" s="367" t="s">
        <v>65</v>
      </c>
      <c r="C5" s="1377"/>
      <c r="D5" s="1377"/>
      <c r="E5" s="1377"/>
      <c r="F5" s="1378"/>
    </row>
    <row r="6" spans="2:6" s="136" customFormat="1" ht="18" customHeight="1">
      <c r="B6" s="148"/>
      <c r="C6" s="255" t="s">
        <v>435</v>
      </c>
      <c r="D6" s="1179">
        <v>2021</v>
      </c>
      <c r="E6" s="1179">
        <v>2022</v>
      </c>
      <c r="F6" s="1180">
        <v>2023</v>
      </c>
    </row>
    <row r="7" spans="2:6" ht="18.95" customHeight="1">
      <c r="B7" s="256" t="s">
        <v>343</v>
      </c>
      <c r="C7" s="804">
        <f>'4'!C60+'4'!C61+'4'!C63</f>
        <v>955000</v>
      </c>
      <c r="D7" s="804">
        <v>960000</v>
      </c>
      <c r="E7" s="804">
        <v>965000</v>
      </c>
      <c r="F7" s="804">
        <v>965000</v>
      </c>
    </row>
    <row r="8" spans="2:6" ht="18.95" customHeight="1">
      <c r="B8" s="256" t="s">
        <v>167</v>
      </c>
      <c r="C8" s="804">
        <f>'4'!C75+'4'!C76+'4'!C77+'4'!C78</f>
        <v>99100</v>
      </c>
      <c r="D8" s="804">
        <f>C8</f>
        <v>99100</v>
      </c>
      <c r="E8" s="804">
        <f>D8</f>
        <v>99100</v>
      </c>
      <c r="F8" s="804">
        <f>E8</f>
        <v>99100</v>
      </c>
    </row>
    <row r="9" spans="2:6" ht="18.95" customHeight="1">
      <c r="B9" s="256" t="s">
        <v>168</v>
      </c>
      <c r="C9" s="804">
        <v>5000</v>
      </c>
      <c r="D9" s="804">
        <v>5000</v>
      </c>
      <c r="E9" s="804">
        <v>5000</v>
      </c>
      <c r="F9" s="804">
        <v>5000</v>
      </c>
    </row>
    <row r="10" spans="2:6" ht="33.75" customHeight="1">
      <c r="B10" s="257" t="s">
        <v>169</v>
      </c>
      <c r="C10" s="810">
        <v>0</v>
      </c>
      <c r="D10" s="810">
        <v>0</v>
      </c>
      <c r="E10" s="810">
        <v>0</v>
      </c>
      <c r="F10" s="451">
        <v>0</v>
      </c>
    </row>
    <row r="11" spans="2:6" ht="18.95" customHeight="1">
      <c r="B11" s="256" t="s">
        <v>170</v>
      </c>
      <c r="C11" s="810">
        <v>0</v>
      </c>
      <c r="D11" s="810">
        <v>0</v>
      </c>
      <c r="E11" s="810">
        <v>0</v>
      </c>
      <c r="F11" s="451">
        <v>0</v>
      </c>
    </row>
    <row r="12" spans="2:6" ht="18.95" customHeight="1">
      <c r="B12" s="256" t="s">
        <v>171</v>
      </c>
      <c r="C12" s="810">
        <v>0</v>
      </c>
      <c r="D12" s="810">
        <v>0</v>
      </c>
      <c r="E12" s="810">
        <v>0</v>
      </c>
      <c r="F12" s="451">
        <v>0</v>
      </c>
    </row>
    <row r="13" spans="2:6" ht="18.95" customHeight="1" thickBot="1">
      <c r="B13" s="833" t="s">
        <v>172</v>
      </c>
      <c r="C13" s="834">
        <v>0</v>
      </c>
      <c r="D13" s="834">
        <v>0</v>
      </c>
      <c r="E13" s="834">
        <v>0</v>
      </c>
      <c r="F13" s="835">
        <v>0</v>
      </c>
    </row>
    <row r="14" spans="2:6" s="136" customFormat="1" ht="30" customHeight="1" thickBot="1">
      <c r="B14" s="259" t="s">
        <v>173</v>
      </c>
      <c r="C14" s="362">
        <f>SUM(C7:C13)</f>
        <v>1059100</v>
      </c>
      <c r="D14" s="362">
        <f>SUM(D7:D13)</f>
        <v>1064100</v>
      </c>
      <c r="E14" s="362">
        <f>SUM(E7:E13)</f>
        <v>1069100</v>
      </c>
      <c r="F14" s="363">
        <f>SUM(F7:F13)</f>
        <v>1069100</v>
      </c>
    </row>
    <row r="15" spans="2:6" ht="28.9" customHeight="1" thickBot="1">
      <c r="B15" s="836"/>
      <c r="C15" s="254"/>
      <c r="D15" s="254"/>
      <c r="E15" s="254"/>
      <c r="F15" s="837"/>
    </row>
    <row r="16" spans="2:6" ht="29.25" customHeight="1" thickBot="1">
      <c r="B16" s="367" t="s">
        <v>65</v>
      </c>
      <c r="C16" s="1377"/>
      <c r="D16" s="1377"/>
      <c r="E16" s="1377"/>
      <c r="F16" s="1378"/>
    </row>
    <row r="17" spans="2:6" s="136" customFormat="1" thickBot="1">
      <c r="B17" s="235"/>
      <c r="C17" s="255" t="s">
        <v>435</v>
      </c>
      <c r="D17" s="1179">
        <v>2021</v>
      </c>
      <c r="E17" s="1179">
        <v>2022</v>
      </c>
      <c r="F17" s="1180">
        <v>2023</v>
      </c>
    </row>
    <row r="18" spans="2:6" s="136" customFormat="1" ht="30" customHeight="1" thickBot="1">
      <c r="B18" s="259" t="s">
        <v>174</v>
      </c>
      <c r="C18" s="362"/>
      <c r="D18" s="362"/>
      <c r="E18" s="362"/>
      <c r="F18" s="363"/>
    </row>
    <row r="19" spans="2:6" ht="18.95" customHeight="1">
      <c r="B19" s="260" t="s">
        <v>175</v>
      </c>
      <c r="C19" s="364">
        <v>0</v>
      </c>
      <c r="D19" s="364">
        <v>0</v>
      </c>
      <c r="E19" s="364">
        <v>0</v>
      </c>
      <c r="F19" s="365">
        <v>0</v>
      </c>
    </row>
    <row r="20" spans="2:6" ht="18.95" customHeight="1">
      <c r="B20" s="256" t="s">
        <v>176</v>
      </c>
      <c r="C20" s="364">
        <v>0</v>
      </c>
      <c r="D20" s="364">
        <v>0</v>
      </c>
      <c r="E20" s="364">
        <v>0</v>
      </c>
      <c r="F20" s="365">
        <v>0</v>
      </c>
    </row>
    <row r="21" spans="2:6" ht="18.95" customHeight="1">
      <c r="B21" s="256" t="s">
        <v>177</v>
      </c>
      <c r="C21" s="364">
        <v>0</v>
      </c>
      <c r="D21" s="364">
        <v>0</v>
      </c>
      <c r="E21" s="364">
        <v>0</v>
      </c>
      <c r="F21" s="365">
        <v>0</v>
      </c>
    </row>
    <row r="22" spans="2:6" ht="18.95" customHeight="1">
      <c r="B22" s="256" t="s">
        <v>178</v>
      </c>
      <c r="C22" s="364">
        <v>0</v>
      </c>
      <c r="D22" s="364">
        <v>0</v>
      </c>
      <c r="E22" s="364">
        <v>0</v>
      </c>
      <c r="F22" s="365">
        <v>0</v>
      </c>
    </row>
    <row r="23" spans="2:6" ht="18.95" customHeight="1">
      <c r="B23" s="256" t="s">
        <v>179</v>
      </c>
      <c r="C23" s="364">
        <v>0</v>
      </c>
      <c r="D23" s="364">
        <v>0</v>
      </c>
      <c r="E23" s="364">
        <v>0</v>
      </c>
      <c r="F23" s="365">
        <v>0</v>
      </c>
    </row>
    <row r="24" spans="2:6" ht="18.95" customHeight="1">
      <c r="B24" s="256" t="s">
        <v>180</v>
      </c>
      <c r="C24" s="364">
        <v>0</v>
      </c>
      <c r="D24" s="364">
        <v>0</v>
      </c>
      <c r="E24" s="364">
        <v>0</v>
      </c>
      <c r="F24" s="365">
        <v>0</v>
      </c>
    </row>
    <row r="25" spans="2:6" ht="18.95" customHeight="1" thickBot="1">
      <c r="B25" s="833" t="s">
        <v>181</v>
      </c>
      <c r="C25" s="834"/>
      <c r="D25" s="834"/>
      <c r="E25" s="834"/>
      <c r="F25" s="835"/>
    </row>
    <row r="26" spans="2:6" s="136" customFormat="1" ht="30" customHeight="1" thickBot="1">
      <c r="B26" s="261" t="s">
        <v>344</v>
      </c>
      <c r="C26" s="362">
        <f>SUM(C27:C33)</f>
        <v>0</v>
      </c>
      <c r="D26" s="362">
        <f t="shared" ref="D26:F26" si="0">SUM(D27:D33)</f>
        <v>0</v>
      </c>
      <c r="E26" s="362">
        <f t="shared" si="0"/>
        <v>0</v>
      </c>
      <c r="F26" s="363">
        <f t="shared" si="0"/>
        <v>0</v>
      </c>
    </row>
    <row r="27" spans="2:6" ht="18.95" customHeight="1">
      <c r="B27" s="260" t="s">
        <v>175</v>
      </c>
      <c r="C27" s="364">
        <v>0</v>
      </c>
      <c r="D27" s="364">
        <v>0</v>
      </c>
      <c r="E27" s="364">
        <v>0</v>
      </c>
      <c r="F27" s="365">
        <v>0</v>
      </c>
    </row>
    <row r="28" spans="2:6" ht="18.95" customHeight="1">
      <c r="B28" s="256" t="s">
        <v>176</v>
      </c>
      <c r="C28" s="364">
        <v>0</v>
      </c>
      <c r="D28" s="364">
        <v>0</v>
      </c>
      <c r="E28" s="364">
        <v>0</v>
      </c>
      <c r="F28" s="365">
        <v>0</v>
      </c>
    </row>
    <row r="29" spans="2:6" ht="18.95" customHeight="1">
      <c r="B29" s="256" t="s">
        <v>177</v>
      </c>
      <c r="C29" s="364">
        <v>0</v>
      </c>
      <c r="D29" s="364">
        <v>0</v>
      </c>
      <c r="E29" s="364">
        <v>0</v>
      </c>
      <c r="F29" s="365">
        <v>0</v>
      </c>
    </row>
    <row r="30" spans="2:6" ht="18.95" customHeight="1">
      <c r="B30" s="256" t="s">
        <v>178</v>
      </c>
      <c r="C30" s="364">
        <v>0</v>
      </c>
      <c r="D30" s="364">
        <v>0</v>
      </c>
      <c r="E30" s="364">
        <v>0</v>
      </c>
      <c r="F30" s="365">
        <v>0</v>
      </c>
    </row>
    <row r="31" spans="2:6" ht="18.95" customHeight="1">
      <c r="B31" s="256" t="s">
        <v>179</v>
      </c>
      <c r="C31" s="364">
        <v>0</v>
      </c>
      <c r="D31" s="364">
        <v>0</v>
      </c>
      <c r="E31" s="364">
        <v>0</v>
      </c>
      <c r="F31" s="365">
        <v>0</v>
      </c>
    </row>
    <row r="32" spans="2:6" ht="18.95" customHeight="1">
      <c r="B32" s="256" t="s">
        <v>180</v>
      </c>
      <c r="C32" s="364">
        <v>0</v>
      </c>
      <c r="D32" s="364">
        <v>0</v>
      </c>
      <c r="E32" s="364">
        <v>0</v>
      </c>
      <c r="F32" s="365">
        <v>0</v>
      </c>
    </row>
    <row r="33" spans="2:6" ht="18.95" customHeight="1" thickBot="1">
      <c r="B33" s="833" t="s">
        <v>181</v>
      </c>
      <c r="C33" s="364">
        <v>0</v>
      </c>
      <c r="D33" s="364">
        <v>0</v>
      </c>
      <c r="E33" s="364">
        <v>0</v>
      </c>
      <c r="F33" s="365">
        <v>0</v>
      </c>
    </row>
    <row r="34" spans="2:6" ht="30" customHeight="1" thickBot="1">
      <c r="B34" s="259" t="s">
        <v>182</v>
      </c>
      <c r="C34" s="362">
        <f t="shared" ref="C34:F34" si="1">C18+C26</f>
        <v>0</v>
      </c>
      <c r="D34" s="362">
        <f t="shared" si="1"/>
        <v>0</v>
      </c>
      <c r="E34" s="362">
        <f t="shared" si="1"/>
        <v>0</v>
      </c>
      <c r="F34" s="363">
        <f t="shared" si="1"/>
        <v>0</v>
      </c>
    </row>
    <row r="35" spans="2:6">
      <c r="B35" s="134"/>
      <c r="C35" s="258"/>
      <c r="D35" s="258"/>
      <c r="E35" s="258"/>
      <c r="F35" s="258"/>
    </row>
  </sheetData>
  <mergeCells count="3">
    <mergeCell ref="C5:F5"/>
    <mergeCell ref="C16:F16"/>
    <mergeCell ref="B3:F3"/>
  </mergeCells>
  <phoneticPr fontId="5" type="noConversion"/>
  <printOptions horizontalCentered="1"/>
  <pageMargins left="0.70866141732283472" right="0.70866141732283472" top="0.98425196850393704" bottom="0.78740157480314965" header="0.51181102362204722" footer="0.31496062992125984"/>
  <pageSetup paperSize="9" scale="76" fitToHeight="0" orientation="portrait" r:id="rId1"/>
  <headerFooter alignWithMargins="0">
    <oddHeader>&amp;L&amp;"Arial,Dőlt"&amp;U14. melléklet a   2/2020. (II.14.) önkormányzati rendelethez</oddHeader>
    <oddFooter xml:space="preserve">&amp;C&amp;9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28"/>
  <sheetViews>
    <sheetView view="pageLayout" zoomScaleNormal="100" zoomScaleSheetLayoutView="100" workbookViewId="0">
      <selection activeCell="B5" sqref="B5"/>
    </sheetView>
  </sheetViews>
  <sheetFormatPr defaultRowHeight="15"/>
  <cols>
    <col min="1" max="1" width="5.5703125" style="264" bestFit="1" customWidth="1"/>
    <col min="2" max="2" width="33.85546875" style="268" customWidth="1"/>
    <col min="3" max="3" width="10.140625" style="268" bestFit="1" customWidth="1"/>
    <col min="4" max="4" width="11.28515625" style="268" bestFit="1" customWidth="1"/>
    <col min="5" max="5" width="10.140625" style="268" customWidth="1"/>
    <col min="6" max="7" width="9.85546875" style="268" customWidth="1"/>
    <col min="8" max="8" width="12.85546875" style="268" bestFit="1" customWidth="1"/>
    <col min="9" max="9" width="11.28515625" style="268" bestFit="1" customWidth="1"/>
    <col min="10" max="13" width="10.140625" style="268" customWidth="1"/>
    <col min="14" max="14" width="14.28515625" style="268" bestFit="1" customWidth="1"/>
    <col min="15" max="15" width="11.5703125" style="264" customWidth="1"/>
    <col min="16" max="254" width="9.140625" style="268"/>
    <col min="255" max="255" width="4.140625" style="268" customWidth="1"/>
    <col min="256" max="256" width="25.5703125" style="268" customWidth="1"/>
    <col min="257" max="258" width="7.7109375" style="268" customWidth="1"/>
    <col min="259" max="259" width="8.140625" style="268" customWidth="1"/>
    <col min="260" max="260" width="7.5703125" style="268" customWidth="1"/>
    <col min="261" max="261" width="7.42578125" style="268" customWidth="1"/>
    <col min="262" max="262" width="7.5703125" style="268" customWidth="1"/>
    <col min="263" max="263" width="7" style="268" customWidth="1"/>
    <col min="264" max="268" width="8.140625" style="268" customWidth="1"/>
    <col min="269" max="269" width="10.85546875" style="268" customWidth="1"/>
    <col min="270" max="510" width="9.140625" style="268"/>
    <col min="511" max="511" width="4.140625" style="268" customWidth="1"/>
    <col min="512" max="512" width="25.5703125" style="268" customWidth="1"/>
    <col min="513" max="514" width="7.7109375" style="268" customWidth="1"/>
    <col min="515" max="515" width="8.140625" style="268" customWidth="1"/>
    <col min="516" max="516" width="7.5703125" style="268" customWidth="1"/>
    <col min="517" max="517" width="7.42578125" style="268" customWidth="1"/>
    <col min="518" max="518" width="7.5703125" style="268" customWidth="1"/>
    <col min="519" max="519" width="7" style="268" customWidth="1"/>
    <col min="520" max="524" width="8.140625" style="268" customWidth="1"/>
    <col min="525" max="525" width="10.85546875" style="268" customWidth="1"/>
    <col min="526" max="766" width="9.140625" style="268"/>
    <col min="767" max="767" width="4.140625" style="268" customWidth="1"/>
    <col min="768" max="768" width="25.5703125" style="268" customWidth="1"/>
    <col min="769" max="770" width="7.7109375" style="268" customWidth="1"/>
    <col min="771" max="771" width="8.140625" style="268" customWidth="1"/>
    <col min="772" max="772" width="7.5703125" style="268" customWidth="1"/>
    <col min="773" max="773" width="7.42578125" style="268" customWidth="1"/>
    <col min="774" max="774" width="7.5703125" style="268" customWidth="1"/>
    <col min="775" max="775" width="7" style="268" customWidth="1"/>
    <col min="776" max="780" width="8.140625" style="268" customWidth="1"/>
    <col min="781" max="781" width="10.85546875" style="268" customWidth="1"/>
    <col min="782" max="1022" width="9.140625" style="268"/>
    <col min="1023" max="1023" width="4.140625" style="268" customWidth="1"/>
    <col min="1024" max="1024" width="25.5703125" style="268" customWidth="1"/>
    <col min="1025" max="1026" width="7.7109375" style="268" customWidth="1"/>
    <col min="1027" max="1027" width="8.140625" style="268" customWidth="1"/>
    <col min="1028" max="1028" width="7.5703125" style="268" customWidth="1"/>
    <col min="1029" max="1029" width="7.42578125" style="268" customWidth="1"/>
    <col min="1030" max="1030" width="7.5703125" style="268" customWidth="1"/>
    <col min="1031" max="1031" width="7" style="268" customWidth="1"/>
    <col min="1032" max="1036" width="8.140625" style="268" customWidth="1"/>
    <col min="1037" max="1037" width="10.85546875" style="268" customWidth="1"/>
    <col min="1038" max="1278" width="9.140625" style="268"/>
    <col min="1279" max="1279" width="4.140625" style="268" customWidth="1"/>
    <col min="1280" max="1280" width="25.5703125" style="268" customWidth="1"/>
    <col min="1281" max="1282" width="7.7109375" style="268" customWidth="1"/>
    <col min="1283" max="1283" width="8.140625" style="268" customWidth="1"/>
    <col min="1284" max="1284" width="7.5703125" style="268" customWidth="1"/>
    <col min="1285" max="1285" width="7.42578125" style="268" customWidth="1"/>
    <col min="1286" max="1286" width="7.5703125" style="268" customWidth="1"/>
    <col min="1287" max="1287" width="7" style="268" customWidth="1"/>
    <col min="1288" max="1292" width="8.140625" style="268" customWidth="1"/>
    <col min="1293" max="1293" width="10.85546875" style="268" customWidth="1"/>
    <col min="1294" max="1534" width="9.140625" style="268"/>
    <col min="1535" max="1535" width="4.140625" style="268" customWidth="1"/>
    <col min="1536" max="1536" width="25.5703125" style="268" customWidth="1"/>
    <col min="1537" max="1538" width="7.7109375" style="268" customWidth="1"/>
    <col min="1539" max="1539" width="8.140625" style="268" customWidth="1"/>
    <col min="1540" max="1540" width="7.5703125" style="268" customWidth="1"/>
    <col min="1541" max="1541" width="7.42578125" style="268" customWidth="1"/>
    <col min="1542" max="1542" width="7.5703125" style="268" customWidth="1"/>
    <col min="1543" max="1543" width="7" style="268" customWidth="1"/>
    <col min="1544" max="1548" width="8.140625" style="268" customWidth="1"/>
    <col min="1549" max="1549" width="10.85546875" style="268" customWidth="1"/>
    <col min="1550" max="1790" width="9.140625" style="268"/>
    <col min="1791" max="1791" width="4.140625" style="268" customWidth="1"/>
    <col min="1792" max="1792" width="25.5703125" style="268" customWidth="1"/>
    <col min="1793" max="1794" width="7.7109375" style="268" customWidth="1"/>
    <col min="1795" max="1795" width="8.140625" style="268" customWidth="1"/>
    <col min="1796" max="1796" width="7.5703125" style="268" customWidth="1"/>
    <col min="1797" max="1797" width="7.42578125" style="268" customWidth="1"/>
    <col min="1798" max="1798" width="7.5703125" style="268" customWidth="1"/>
    <col min="1799" max="1799" width="7" style="268" customWidth="1"/>
    <col min="1800" max="1804" width="8.140625" style="268" customWidth="1"/>
    <col min="1805" max="1805" width="10.85546875" style="268" customWidth="1"/>
    <col min="1806" max="2046" width="9.140625" style="268"/>
    <col min="2047" max="2047" width="4.140625" style="268" customWidth="1"/>
    <col min="2048" max="2048" width="25.5703125" style="268" customWidth="1"/>
    <col min="2049" max="2050" width="7.7109375" style="268" customWidth="1"/>
    <col min="2051" max="2051" width="8.140625" style="268" customWidth="1"/>
    <col min="2052" max="2052" width="7.5703125" style="268" customWidth="1"/>
    <col min="2053" max="2053" width="7.42578125" style="268" customWidth="1"/>
    <col min="2054" max="2054" width="7.5703125" style="268" customWidth="1"/>
    <col min="2055" max="2055" width="7" style="268" customWidth="1"/>
    <col min="2056" max="2060" width="8.140625" style="268" customWidth="1"/>
    <col min="2061" max="2061" width="10.85546875" style="268" customWidth="1"/>
    <col min="2062" max="2302" width="9.140625" style="268"/>
    <col min="2303" max="2303" width="4.140625" style="268" customWidth="1"/>
    <col min="2304" max="2304" width="25.5703125" style="268" customWidth="1"/>
    <col min="2305" max="2306" width="7.7109375" style="268" customWidth="1"/>
    <col min="2307" max="2307" width="8.140625" style="268" customWidth="1"/>
    <col min="2308" max="2308" width="7.5703125" style="268" customWidth="1"/>
    <col min="2309" max="2309" width="7.42578125" style="268" customWidth="1"/>
    <col min="2310" max="2310" width="7.5703125" style="268" customWidth="1"/>
    <col min="2311" max="2311" width="7" style="268" customWidth="1"/>
    <col min="2312" max="2316" width="8.140625" style="268" customWidth="1"/>
    <col min="2317" max="2317" width="10.85546875" style="268" customWidth="1"/>
    <col min="2318" max="2558" width="9.140625" style="268"/>
    <col min="2559" max="2559" width="4.140625" style="268" customWidth="1"/>
    <col min="2560" max="2560" width="25.5703125" style="268" customWidth="1"/>
    <col min="2561" max="2562" width="7.7109375" style="268" customWidth="1"/>
    <col min="2563" max="2563" width="8.140625" style="268" customWidth="1"/>
    <col min="2564" max="2564" width="7.5703125" style="268" customWidth="1"/>
    <col min="2565" max="2565" width="7.42578125" style="268" customWidth="1"/>
    <col min="2566" max="2566" width="7.5703125" style="268" customWidth="1"/>
    <col min="2567" max="2567" width="7" style="268" customWidth="1"/>
    <col min="2568" max="2572" width="8.140625" style="268" customWidth="1"/>
    <col min="2573" max="2573" width="10.85546875" style="268" customWidth="1"/>
    <col min="2574" max="2814" width="9.140625" style="268"/>
    <col min="2815" max="2815" width="4.140625" style="268" customWidth="1"/>
    <col min="2816" max="2816" width="25.5703125" style="268" customWidth="1"/>
    <col min="2817" max="2818" width="7.7109375" style="268" customWidth="1"/>
    <col min="2819" max="2819" width="8.140625" style="268" customWidth="1"/>
    <col min="2820" max="2820" width="7.5703125" style="268" customWidth="1"/>
    <col min="2821" max="2821" width="7.42578125" style="268" customWidth="1"/>
    <col min="2822" max="2822" width="7.5703125" style="268" customWidth="1"/>
    <col min="2823" max="2823" width="7" style="268" customWidth="1"/>
    <col min="2824" max="2828" width="8.140625" style="268" customWidth="1"/>
    <col min="2829" max="2829" width="10.85546875" style="268" customWidth="1"/>
    <col min="2830" max="3070" width="9.140625" style="268"/>
    <col min="3071" max="3071" width="4.140625" style="268" customWidth="1"/>
    <col min="3072" max="3072" width="25.5703125" style="268" customWidth="1"/>
    <col min="3073" max="3074" width="7.7109375" style="268" customWidth="1"/>
    <col min="3075" max="3075" width="8.140625" style="268" customWidth="1"/>
    <col min="3076" max="3076" width="7.5703125" style="268" customWidth="1"/>
    <col min="3077" max="3077" width="7.42578125" style="268" customWidth="1"/>
    <col min="3078" max="3078" width="7.5703125" style="268" customWidth="1"/>
    <col min="3079" max="3079" width="7" style="268" customWidth="1"/>
    <col min="3080" max="3084" width="8.140625" style="268" customWidth="1"/>
    <col min="3085" max="3085" width="10.85546875" style="268" customWidth="1"/>
    <col min="3086" max="3326" width="9.140625" style="268"/>
    <col min="3327" max="3327" width="4.140625" style="268" customWidth="1"/>
    <col min="3328" max="3328" width="25.5703125" style="268" customWidth="1"/>
    <col min="3329" max="3330" width="7.7109375" style="268" customWidth="1"/>
    <col min="3331" max="3331" width="8.140625" style="268" customWidth="1"/>
    <col min="3332" max="3332" width="7.5703125" style="268" customWidth="1"/>
    <col min="3333" max="3333" width="7.42578125" style="268" customWidth="1"/>
    <col min="3334" max="3334" width="7.5703125" style="268" customWidth="1"/>
    <col min="3335" max="3335" width="7" style="268" customWidth="1"/>
    <col min="3336" max="3340" width="8.140625" style="268" customWidth="1"/>
    <col min="3341" max="3341" width="10.85546875" style="268" customWidth="1"/>
    <col min="3342" max="3582" width="9.140625" style="268"/>
    <col min="3583" max="3583" width="4.140625" style="268" customWidth="1"/>
    <col min="3584" max="3584" width="25.5703125" style="268" customWidth="1"/>
    <col min="3585" max="3586" width="7.7109375" style="268" customWidth="1"/>
    <col min="3587" max="3587" width="8.140625" style="268" customWidth="1"/>
    <col min="3588" max="3588" width="7.5703125" style="268" customWidth="1"/>
    <col min="3589" max="3589" width="7.42578125" style="268" customWidth="1"/>
    <col min="3590" max="3590" width="7.5703125" style="268" customWidth="1"/>
    <col min="3591" max="3591" width="7" style="268" customWidth="1"/>
    <col min="3592" max="3596" width="8.140625" style="268" customWidth="1"/>
    <col min="3597" max="3597" width="10.85546875" style="268" customWidth="1"/>
    <col min="3598" max="3838" width="9.140625" style="268"/>
    <col min="3839" max="3839" width="4.140625" style="268" customWidth="1"/>
    <col min="3840" max="3840" width="25.5703125" style="268" customWidth="1"/>
    <col min="3841" max="3842" width="7.7109375" style="268" customWidth="1"/>
    <col min="3843" max="3843" width="8.140625" style="268" customWidth="1"/>
    <col min="3844" max="3844" width="7.5703125" style="268" customWidth="1"/>
    <col min="3845" max="3845" width="7.42578125" style="268" customWidth="1"/>
    <col min="3846" max="3846" width="7.5703125" style="268" customWidth="1"/>
    <col min="3847" max="3847" width="7" style="268" customWidth="1"/>
    <col min="3848" max="3852" width="8.140625" style="268" customWidth="1"/>
    <col min="3853" max="3853" width="10.85546875" style="268" customWidth="1"/>
    <col min="3854" max="4094" width="9.140625" style="268"/>
    <col min="4095" max="4095" width="4.140625" style="268" customWidth="1"/>
    <col min="4096" max="4096" width="25.5703125" style="268" customWidth="1"/>
    <col min="4097" max="4098" width="7.7109375" style="268" customWidth="1"/>
    <col min="4099" max="4099" width="8.140625" style="268" customWidth="1"/>
    <col min="4100" max="4100" width="7.5703125" style="268" customWidth="1"/>
    <col min="4101" max="4101" width="7.42578125" style="268" customWidth="1"/>
    <col min="4102" max="4102" width="7.5703125" style="268" customWidth="1"/>
    <col min="4103" max="4103" width="7" style="268" customWidth="1"/>
    <col min="4104" max="4108" width="8.140625" style="268" customWidth="1"/>
    <col min="4109" max="4109" width="10.85546875" style="268" customWidth="1"/>
    <col min="4110" max="4350" width="9.140625" style="268"/>
    <col min="4351" max="4351" width="4.140625" style="268" customWidth="1"/>
    <col min="4352" max="4352" width="25.5703125" style="268" customWidth="1"/>
    <col min="4353" max="4354" width="7.7109375" style="268" customWidth="1"/>
    <col min="4355" max="4355" width="8.140625" style="268" customWidth="1"/>
    <col min="4356" max="4356" width="7.5703125" style="268" customWidth="1"/>
    <col min="4357" max="4357" width="7.42578125" style="268" customWidth="1"/>
    <col min="4358" max="4358" width="7.5703125" style="268" customWidth="1"/>
    <col min="4359" max="4359" width="7" style="268" customWidth="1"/>
    <col min="4360" max="4364" width="8.140625" style="268" customWidth="1"/>
    <col min="4365" max="4365" width="10.85546875" style="268" customWidth="1"/>
    <col min="4366" max="4606" width="9.140625" style="268"/>
    <col min="4607" max="4607" width="4.140625" style="268" customWidth="1"/>
    <col min="4608" max="4608" width="25.5703125" style="268" customWidth="1"/>
    <col min="4609" max="4610" width="7.7109375" style="268" customWidth="1"/>
    <col min="4611" max="4611" width="8.140625" style="268" customWidth="1"/>
    <col min="4612" max="4612" width="7.5703125" style="268" customWidth="1"/>
    <col min="4613" max="4613" width="7.42578125" style="268" customWidth="1"/>
    <col min="4614" max="4614" width="7.5703125" style="268" customWidth="1"/>
    <col min="4615" max="4615" width="7" style="268" customWidth="1"/>
    <col min="4616" max="4620" width="8.140625" style="268" customWidth="1"/>
    <col min="4621" max="4621" width="10.85546875" style="268" customWidth="1"/>
    <col min="4622" max="4862" width="9.140625" style="268"/>
    <col min="4863" max="4863" width="4.140625" style="268" customWidth="1"/>
    <col min="4864" max="4864" width="25.5703125" style="268" customWidth="1"/>
    <col min="4865" max="4866" width="7.7109375" style="268" customWidth="1"/>
    <col min="4867" max="4867" width="8.140625" style="268" customWidth="1"/>
    <col min="4868" max="4868" width="7.5703125" style="268" customWidth="1"/>
    <col min="4869" max="4869" width="7.42578125" style="268" customWidth="1"/>
    <col min="4870" max="4870" width="7.5703125" style="268" customWidth="1"/>
    <col min="4871" max="4871" width="7" style="268" customWidth="1"/>
    <col min="4872" max="4876" width="8.140625" style="268" customWidth="1"/>
    <col min="4877" max="4877" width="10.85546875" style="268" customWidth="1"/>
    <col min="4878" max="5118" width="9.140625" style="268"/>
    <col min="5119" max="5119" width="4.140625" style="268" customWidth="1"/>
    <col min="5120" max="5120" width="25.5703125" style="268" customWidth="1"/>
    <col min="5121" max="5122" width="7.7109375" style="268" customWidth="1"/>
    <col min="5123" max="5123" width="8.140625" style="268" customWidth="1"/>
    <col min="5124" max="5124" width="7.5703125" style="268" customWidth="1"/>
    <col min="5125" max="5125" width="7.42578125" style="268" customWidth="1"/>
    <col min="5126" max="5126" width="7.5703125" style="268" customWidth="1"/>
    <col min="5127" max="5127" width="7" style="268" customWidth="1"/>
    <col min="5128" max="5132" width="8.140625" style="268" customWidth="1"/>
    <col min="5133" max="5133" width="10.85546875" style="268" customWidth="1"/>
    <col min="5134" max="5374" width="9.140625" style="268"/>
    <col min="5375" max="5375" width="4.140625" style="268" customWidth="1"/>
    <col min="5376" max="5376" width="25.5703125" style="268" customWidth="1"/>
    <col min="5377" max="5378" width="7.7109375" style="268" customWidth="1"/>
    <col min="5379" max="5379" width="8.140625" style="268" customWidth="1"/>
    <col min="5380" max="5380" width="7.5703125" style="268" customWidth="1"/>
    <col min="5381" max="5381" width="7.42578125" style="268" customWidth="1"/>
    <col min="5382" max="5382" width="7.5703125" style="268" customWidth="1"/>
    <col min="5383" max="5383" width="7" style="268" customWidth="1"/>
    <col min="5384" max="5388" width="8.140625" style="268" customWidth="1"/>
    <col min="5389" max="5389" width="10.85546875" style="268" customWidth="1"/>
    <col min="5390" max="5630" width="9.140625" style="268"/>
    <col min="5631" max="5631" width="4.140625" style="268" customWidth="1"/>
    <col min="5632" max="5632" width="25.5703125" style="268" customWidth="1"/>
    <col min="5633" max="5634" width="7.7109375" style="268" customWidth="1"/>
    <col min="5635" max="5635" width="8.140625" style="268" customWidth="1"/>
    <col min="5636" max="5636" width="7.5703125" style="268" customWidth="1"/>
    <col min="5637" max="5637" width="7.42578125" style="268" customWidth="1"/>
    <col min="5638" max="5638" width="7.5703125" style="268" customWidth="1"/>
    <col min="5639" max="5639" width="7" style="268" customWidth="1"/>
    <col min="5640" max="5644" width="8.140625" style="268" customWidth="1"/>
    <col min="5645" max="5645" width="10.85546875" style="268" customWidth="1"/>
    <col min="5646" max="5886" width="9.140625" style="268"/>
    <col min="5887" max="5887" width="4.140625" style="268" customWidth="1"/>
    <col min="5888" max="5888" width="25.5703125" style="268" customWidth="1"/>
    <col min="5889" max="5890" width="7.7109375" style="268" customWidth="1"/>
    <col min="5891" max="5891" width="8.140625" style="268" customWidth="1"/>
    <col min="5892" max="5892" width="7.5703125" style="268" customWidth="1"/>
    <col min="5893" max="5893" width="7.42578125" style="268" customWidth="1"/>
    <col min="5894" max="5894" width="7.5703125" style="268" customWidth="1"/>
    <col min="5895" max="5895" width="7" style="268" customWidth="1"/>
    <col min="5896" max="5900" width="8.140625" style="268" customWidth="1"/>
    <col min="5901" max="5901" width="10.85546875" style="268" customWidth="1"/>
    <col min="5902" max="6142" width="9.140625" style="268"/>
    <col min="6143" max="6143" width="4.140625" style="268" customWidth="1"/>
    <col min="6144" max="6144" width="25.5703125" style="268" customWidth="1"/>
    <col min="6145" max="6146" width="7.7109375" style="268" customWidth="1"/>
    <col min="6147" max="6147" width="8.140625" style="268" customWidth="1"/>
    <col min="6148" max="6148" width="7.5703125" style="268" customWidth="1"/>
    <col min="6149" max="6149" width="7.42578125" style="268" customWidth="1"/>
    <col min="6150" max="6150" width="7.5703125" style="268" customWidth="1"/>
    <col min="6151" max="6151" width="7" style="268" customWidth="1"/>
    <col min="6152" max="6156" width="8.140625" style="268" customWidth="1"/>
    <col min="6157" max="6157" width="10.85546875" style="268" customWidth="1"/>
    <col min="6158" max="6398" width="9.140625" style="268"/>
    <col min="6399" max="6399" width="4.140625" style="268" customWidth="1"/>
    <col min="6400" max="6400" width="25.5703125" style="268" customWidth="1"/>
    <col min="6401" max="6402" width="7.7109375" style="268" customWidth="1"/>
    <col min="6403" max="6403" width="8.140625" style="268" customWidth="1"/>
    <col min="6404" max="6404" width="7.5703125" style="268" customWidth="1"/>
    <col min="6405" max="6405" width="7.42578125" style="268" customWidth="1"/>
    <col min="6406" max="6406" width="7.5703125" style="268" customWidth="1"/>
    <col min="6407" max="6407" width="7" style="268" customWidth="1"/>
    <col min="6408" max="6412" width="8.140625" style="268" customWidth="1"/>
    <col min="6413" max="6413" width="10.85546875" style="268" customWidth="1"/>
    <col min="6414" max="6654" width="9.140625" style="268"/>
    <col min="6655" max="6655" width="4.140625" style="268" customWidth="1"/>
    <col min="6656" max="6656" width="25.5703125" style="268" customWidth="1"/>
    <col min="6657" max="6658" width="7.7109375" style="268" customWidth="1"/>
    <col min="6659" max="6659" width="8.140625" style="268" customWidth="1"/>
    <col min="6660" max="6660" width="7.5703125" style="268" customWidth="1"/>
    <col min="6661" max="6661" width="7.42578125" style="268" customWidth="1"/>
    <col min="6662" max="6662" width="7.5703125" style="268" customWidth="1"/>
    <col min="6663" max="6663" width="7" style="268" customWidth="1"/>
    <col min="6664" max="6668" width="8.140625" style="268" customWidth="1"/>
    <col min="6669" max="6669" width="10.85546875" style="268" customWidth="1"/>
    <col min="6670" max="6910" width="9.140625" style="268"/>
    <col min="6911" max="6911" width="4.140625" style="268" customWidth="1"/>
    <col min="6912" max="6912" width="25.5703125" style="268" customWidth="1"/>
    <col min="6913" max="6914" width="7.7109375" style="268" customWidth="1"/>
    <col min="6915" max="6915" width="8.140625" style="268" customWidth="1"/>
    <col min="6916" max="6916" width="7.5703125" style="268" customWidth="1"/>
    <col min="6917" max="6917" width="7.42578125" style="268" customWidth="1"/>
    <col min="6918" max="6918" width="7.5703125" style="268" customWidth="1"/>
    <col min="6919" max="6919" width="7" style="268" customWidth="1"/>
    <col min="6920" max="6924" width="8.140625" style="268" customWidth="1"/>
    <col min="6925" max="6925" width="10.85546875" style="268" customWidth="1"/>
    <col min="6926" max="7166" width="9.140625" style="268"/>
    <col min="7167" max="7167" width="4.140625" style="268" customWidth="1"/>
    <col min="7168" max="7168" width="25.5703125" style="268" customWidth="1"/>
    <col min="7169" max="7170" width="7.7109375" style="268" customWidth="1"/>
    <col min="7171" max="7171" width="8.140625" style="268" customWidth="1"/>
    <col min="7172" max="7172" width="7.5703125" style="268" customWidth="1"/>
    <col min="7173" max="7173" width="7.42578125" style="268" customWidth="1"/>
    <col min="7174" max="7174" width="7.5703125" style="268" customWidth="1"/>
    <col min="7175" max="7175" width="7" style="268" customWidth="1"/>
    <col min="7176" max="7180" width="8.140625" style="268" customWidth="1"/>
    <col min="7181" max="7181" width="10.85546875" style="268" customWidth="1"/>
    <col min="7182" max="7422" width="9.140625" style="268"/>
    <col min="7423" max="7423" width="4.140625" style="268" customWidth="1"/>
    <col min="7424" max="7424" width="25.5703125" style="268" customWidth="1"/>
    <col min="7425" max="7426" width="7.7109375" style="268" customWidth="1"/>
    <col min="7427" max="7427" width="8.140625" style="268" customWidth="1"/>
    <col min="7428" max="7428" width="7.5703125" style="268" customWidth="1"/>
    <col min="7429" max="7429" width="7.42578125" style="268" customWidth="1"/>
    <col min="7430" max="7430" width="7.5703125" style="268" customWidth="1"/>
    <col min="7431" max="7431" width="7" style="268" customWidth="1"/>
    <col min="7432" max="7436" width="8.140625" style="268" customWidth="1"/>
    <col min="7437" max="7437" width="10.85546875" style="268" customWidth="1"/>
    <col min="7438" max="7678" width="9.140625" style="268"/>
    <col min="7679" max="7679" width="4.140625" style="268" customWidth="1"/>
    <col min="7680" max="7680" width="25.5703125" style="268" customWidth="1"/>
    <col min="7681" max="7682" width="7.7109375" style="268" customWidth="1"/>
    <col min="7683" max="7683" width="8.140625" style="268" customWidth="1"/>
    <col min="7684" max="7684" width="7.5703125" style="268" customWidth="1"/>
    <col min="7685" max="7685" width="7.42578125" style="268" customWidth="1"/>
    <col min="7686" max="7686" width="7.5703125" style="268" customWidth="1"/>
    <col min="7687" max="7687" width="7" style="268" customWidth="1"/>
    <col min="7688" max="7692" width="8.140625" style="268" customWidth="1"/>
    <col min="7693" max="7693" width="10.85546875" style="268" customWidth="1"/>
    <col min="7694" max="7934" width="9.140625" style="268"/>
    <col min="7935" max="7935" width="4.140625" style="268" customWidth="1"/>
    <col min="7936" max="7936" width="25.5703125" style="268" customWidth="1"/>
    <col min="7937" max="7938" width="7.7109375" style="268" customWidth="1"/>
    <col min="7939" max="7939" width="8.140625" style="268" customWidth="1"/>
    <col min="7940" max="7940" width="7.5703125" style="268" customWidth="1"/>
    <col min="7941" max="7941" width="7.42578125" style="268" customWidth="1"/>
    <col min="7942" max="7942" width="7.5703125" style="268" customWidth="1"/>
    <col min="7943" max="7943" width="7" style="268" customWidth="1"/>
    <col min="7944" max="7948" width="8.140625" style="268" customWidth="1"/>
    <col min="7949" max="7949" width="10.85546875" style="268" customWidth="1"/>
    <col min="7950" max="8190" width="9.140625" style="268"/>
    <col min="8191" max="8191" width="4.140625" style="268" customWidth="1"/>
    <col min="8192" max="8192" width="25.5703125" style="268" customWidth="1"/>
    <col min="8193" max="8194" width="7.7109375" style="268" customWidth="1"/>
    <col min="8195" max="8195" width="8.140625" style="268" customWidth="1"/>
    <col min="8196" max="8196" width="7.5703125" style="268" customWidth="1"/>
    <col min="8197" max="8197" width="7.42578125" style="268" customWidth="1"/>
    <col min="8198" max="8198" width="7.5703125" style="268" customWidth="1"/>
    <col min="8199" max="8199" width="7" style="268" customWidth="1"/>
    <col min="8200" max="8204" width="8.140625" style="268" customWidth="1"/>
    <col min="8205" max="8205" width="10.85546875" style="268" customWidth="1"/>
    <col min="8206" max="8446" width="9.140625" style="268"/>
    <col min="8447" max="8447" width="4.140625" style="268" customWidth="1"/>
    <col min="8448" max="8448" width="25.5703125" style="268" customWidth="1"/>
    <col min="8449" max="8450" width="7.7109375" style="268" customWidth="1"/>
    <col min="8451" max="8451" width="8.140625" style="268" customWidth="1"/>
    <col min="8452" max="8452" width="7.5703125" style="268" customWidth="1"/>
    <col min="8453" max="8453" width="7.42578125" style="268" customWidth="1"/>
    <col min="8454" max="8454" width="7.5703125" style="268" customWidth="1"/>
    <col min="8455" max="8455" width="7" style="268" customWidth="1"/>
    <col min="8456" max="8460" width="8.140625" style="268" customWidth="1"/>
    <col min="8461" max="8461" width="10.85546875" style="268" customWidth="1"/>
    <col min="8462" max="8702" width="9.140625" style="268"/>
    <col min="8703" max="8703" width="4.140625" style="268" customWidth="1"/>
    <col min="8704" max="8704" width="25.5703125" style="268" customWidth="1"/>
    <col min="8705" max="8706" width="7.7109375" style="268" customWidth="1"/>
    <col min="8707" max="8707" width="8.140625" style="268" customWidth="1"/>
    <col min="8708" max="8708" width="7.5703125" style="268" customWidth="1"/>
    <col min="8709" max="8709" width="7.42578125" style="268" customWidth="1"/>
    <col min="8710" max="8710" width="7.5703125" style="268" customWidth="1"/>
    <col min="8711" max="8711" width="7" style="268" customWidth="1"/>
    <col min="8712" max="8716" width="8.140625" style="268" customWidth="1"/>
    <col min="8717" max="8717" width="10.85546875" style="268" customWidth="1"/>
    <col min="8718" max="8958" width="9.140625" style="268"/>
    <col min="8959" max="8959" width="4.140625" style="268" customWidth="1"/>
    <col min="8960" max="8960" width="25.5703125" style="268" customWidth="1"/>
    <col min="8961" max="8962" width="7.7109375" style="268" customWidth="1"/>
    <col min="8963" max="8963" width="8.140625" style="268" customWidth="1"/>
    <col min="8964" max="8964" width="7.5703125" style="268" customWidth="1"/>
    <col min="8965" max="8965" width="7.42578125" style="268" customWidth="1"/>
    <col min="8966" max="8966" width="7.5703125" style="268" customWidth="1"/>
    <col min="8967" max="8967" width="7" style="268" customWidth="1"/>
    <col min="8968" max="8972" width="8.140625" style="268" customWidth="1"/>
    <col min="8973" max="8973" width="10.85546875" style="268" customWidth="1"/>
    <col min="8974" max="9214" width="9.140625" style="268"/>
    <col min="9215" max="9215" width="4.140625" style="268" customWidth="1"/>
    <col min="9216" max="9216" width="25.5703125" style="268" customWidth="1"/>
    <col min="9217" max="9218" width="7.7109375" style="268" customWidth="1"/>
    <col min="9219" max="9219" width="8.140625" style="268" customWidth="1"/>
    <col min="9220" max="9220" width="7.5703125" style="268" customWidth="1"/>
    <col min="9221" max="9221" width="7.42578125" style="268" customWidth="1"/>
    <col min="9222" max="9222" width="7.5703125" style="268" customWidth="1"/>
    <col min="9223" max="9223" width="7" style="268" customWidth="1"/>
    <col min="9224" max="9228" width="8.140625" style="268" customWidth="1"/>
    <col min="9229" max="9229" width="10.85546875" style="268" customWidth="1"/>
    <col min="9230" max="9470" width="9.140625" style="268"/>
    <col min="9471" max="9471" width="4.140625" style="268" customWidth="1"/>
    <col min="9472" max="9472" width="25.5703125" style="268" customWidth="1"/>
    <col min="9473" max="9474" width="7.7109375" style="268" customWidth="1"/>
    <col min="9475" max="9475" width="8.140625" style="268" customWidth="1"/>
    <col min="9476" max="9476" width="7.5703125" style="268" customWidth="1"/>
    <col min="9477" max="9477" width="7.42578125" style="268" customWidth="1"/>
    <col min="9478" max="9478" width="7.5703125" style="268" customWidth="1"/>
    <col min="9479" max="9479" width="7" style="268" customWidth="1"/>
    <col min="9480" max="9484" width="8.140625" style="268" customWidth="1"/>
    <col min="9485" max="9485" width="10.85546875" style="268" customWidth="1"/>
    <col min="9486" max="9726" width="9.140625" style="268"/>
    <col min="9727" max="9727" width="4.140625" style="268" customWidth="1"/>
    <col min="9728" max="9728" width="25.5703125" style="268" customWidth="1"/>
    <col min="9729" max="9730" width="7.7109375" style="268" customWidth="1"/>
    <col min="9731" max="9731" width="8.140625" style="268" customWidth="1"/>
    <col min="9732" max="9732" width="7.5703125" style="268" customWidth="1"/>
    <col min="9733" max="9733" width="7.42578125" style="268" customWidth="1"/>
    <col min="9734" max="9734" width="7.5703125" style="268" customWidth="1"/>
    <col min="9735" max="9735" width="7" style="268" customWidth="1"/>
    <col min="9736" max="9740" width="8.140625" style="268" customWidth="1"/>
    <col min="9741" max="9741" width="10.85546875" style="268" customWidth="1"/>
    <col min="9742" max="9982" width="9.140625" style="268"/>
    <col min="9983" max="9983" width="4.140625" style="268" customWidth="1"/>
    <col min="9984" max="9984" width="25.5703125" style="268" customWidth="1"/>
    <col min="9985" max="9986" width="7.7109375" style="268" customWidth="1"/>
    <col min="9987" max="9987" width="8.140625" style="268" customWidth="1"/>
    <col min="9988" max="9988" width="7.5703125" style="268" customWidth="1"/>
    <col min="9989" max="9989" width="7.42578125" style="268" customWidth="1"/>
    <col min="9990" max="9990" width="7.5703125" style="268" customWidth="1"/>
    <col min="9991" max="9991" width="7" style="268" customWidth="1"/>
    <col min="9992" max="9996" width="8.140625" style="268" customWidth="1"/>
    <col min="9997" max="9997" width="10.85546875" style="268" customWidth="1"/>
    <col min="9998" max="10238" width="9.140625" style="268"/>
    <col min="10239" max="10239" width="4.140625" style="268" customWidth="1"/>
    <col min="10240" max="10240" width="25.5703125" style="268" customWidth="1"/>
    <col min="10241" max="10242" width="7.7109375" style="268" customWidth="1"/>
    <col min="10243" max="10243" width="8.140625" style="268" customWidth="1"/>
    <col min="10244" max="10244" width="7.5703125" style="268" customWidth="1"/>
    <col min="10245" max="10245" width="7.42578125" style="268" customWidth="1"/>
    <col min="10246" max="10246" width="7.5703125" style="268" customWidth="1"/>
    <col min="10247" max="10247" width="7" style="268" customWidth="1"/>
    <col min="10248" max="10252" width="8.140625" style="268" customWidth="1"/>
    <col min="10253" max="10253" width="10.85546875" style="268" customWidth="1"/>
    <col min="10254" max="10494" width="9.140625" style="268"/>
    <col min="10495" max="10495" width="4.140625" style="268" customWidth="1"/>
    <col min="10496" max="10496" width="25.5703125" style="268" customWidth="1"/>
    <col min="10497" max="10498" width="7.7109375" style="268" customWidth="1"/>
    <col min="10499" max="10499" width="8.140625" style="268" customWidth="1"/>
    <col min="10500" max="10500" width="7.5703125" style="268" customWidth="1"/>
    <col min="10501" max="10501" width="7.42578125" style="268" customWidth="1"/>
    <col min="10502" max="10502" width="7.5703125" style="268" customWidth="1"/>
    <col min="10503" max="10503" width="7" style="268" customWidth="1"/>
    <col min="10504" max="10508" width="8.140625" style="268" customWidth="1"/>
    <col min="10509" max="10509" width="10.85546875" style="268" customWidth="1"/>
    <col min="10510" max="10750" width="9.140625" style="268"/>
    <col min="10751" max="10751" width="4.140625" style="268" customWidth="1"/>
    <col min="10752" max="10752" width="25.5703125" style="268" customWidth="1"/>
    <col min="10753" max="10754" width="7.7109375" style="268" customWidth="1"/>
    <col min="10755" max="10755" width="8.140625" style="268" customWidth="1"/>
    <col min="10756" max="10756" width="7.5703125" style="268" customWidth="1"/>
    <col min="10757" max="10757" width="7.42578125" style="268" customWidth="1"/>
    <col min="10758" max="10758" width="7.5703125" style="268" customWidth="1"/>
    <col min="10759" max="10759" width="7" style="268" customWidth="1"/>
    <col min="10760" max="10764" width="8.140625" style="268" customWidth="1"/>
    <col min="10765" max="10765" width="10.85546875" style="268" customWidth="1"/>
    <col min="10766" max="11006" width="9.140625" style="268"/>
    <col min="11007" max="11007" width="4.140625" style="268" customWidth="1"/>
    <col min="11008" max="11008" width="25.5703125" style="268" customWidth="1"/>
    <col min="11009" max="11010" width="7.7109375" style="268" customWidth="1"/>
    <col min="11011" max="11011" width="8.140625" style="268" customWidth="1"/>
    <col min="11012" max="11012" width="7.5703125" style="268" customWidth="1"/>
    <col min="11013" max="11013" width="7.42578125" style="268" customWidth="1"/>
    <col min="11014" max="11014" width="7.5703125" style="268" customWidth="1"/>
    <col min="11015" max="11015" width="7" style="268" customWidth="1"/>
    <col min="11016" max="11020" width="8.140625" style="268" customWidth="1"/>
    <col min="11021" max="11021" width="10.85546875" style="268" customWidth="1"/>
    <col min="11022" max="11262" width="9.140625" style="268"/>
    <col min="11263" max="11263" width="4.140625" style="268" customWidth="1"/>
    <col min="11264" max="11264" width="25.5703125" style="268" customWidth="1"/>
    <col min="11265" max="11266" width="7.7109375" style="268" customWidth="1"/>
    <col min="11267" max="11267" width="8.140625" style="268" customWidth="1"/>
    <col min="11268" max="11268" width="7.5703125" style="268" customWidth="1"/>
    <col min="11269" max="11269" width="7.42578125" style="268" customWidth="1"/>
    <col min="11270" max="11270" width="7.5703125" style="268" customWidth="1"/>
    <col min="11271" max="11271" width="7" style="268" customWidth="1"/>
    <col min="11272" max="11276" width="8.140625" style="268" customWidth="1"/>
    <col min="11277" max="11277" width="10.85546875" style="268" customWidth="1"/>
    <col min="11278" max="11518" width="9.140625" style="268"/>
    <col min="11519" max="11519" width="4.140625" style="268" customWidth="1"/>
    <col min="11520" max="11520" width="25.5703125" style="268" customWidth="1"/>
    <col min="11521" max="11522" width="7.7109375" style="268" customWidth="1"/>
    <col min="11523" max="11523" width="8.140625" style="268" customWidth="1"/>
    <col min="11524" max="11524" width="7.5703125" style="268" customWidth="1"/>
    <col min="11525" max="11525" width="7.42578125" style="268" customWidth="1"/>
    <col min="11526" max="11526" width="7.5703125" style="268" customWidth="1"/>
    <col min="11527" max="11527" width="7" style="268" customWidth="1"/>
    <col min="11528" max="11532" width="8.140625" style="268" customWidth="1"/>
    <col min="11533" max="11533" width="10.85546875" style="268" customWidth="1"/>
    <col min="11534" max="11774" width="9.140625" style="268"/>
    <col min="11775" max="11775" width="4.140625" style="268" customWidth="1"/>
    <col min="11776" max="11776" width="25.5703125" style="268" customWidth="1"/>
    <col min="11777" max="11778" width="7.7109375" style="268" customWidth="1"/>
    <col min="11779" max="11779" width="8.140625" style="268" customWidth="1"/>
    <col min="11780" max="11780" width="7.5703125" style="268" customWidth="1"/>
    <col min="11781" max="11781" width="7.42578125" style="268" customWidth="1"/>
    <col min="11782" max="11782" width="7.5703125" style="268" customWidth="1"/>
    <col min="11783" max="11783" width="7" style="268" customWidth="1"/>
    <col min="11784" max="11788" width="8.140625" style="268" customWidth="1"/>
    <col min="11789" max="11789" width="10.85546875" style="268" customWidth="1"/>
    <col min="11790" max="12030" width="9.140625" style="268"/>
    <col min="12031" max="12031" width="4.140625" style="268" customWidth="1"/>
    <col min="12032" max="12032" width="25.5703125" style="268" customWidth="1"/>
    <col min="12033" max="12034" width="7.7109375" style="268" customWidth="1"/>
    <col min="12035" max="12035" width="8.140625" style="268" customWidth="1"/>
    <col min="12036" max="12036" width="7.5703125" style="268" customWidth="1"/>
    <col min="12037" max="12037" width="7.42578125" style="268" customWidth="1"/>
    <col min="12038" max="12038" width="7.5703125" style="268" customWidth="1"/>
    <col min="12039" max="12039" width="7" style="268" customWidth="1"/>
    <col min="12040" max="12044" width="8.140625" style="268" customWidth="1"/>
    <col min="12045" max="12045" width="10.85546875" style="268" customWidth="1"/>
    <col min="12046" max="12286" width="9.140625" style="268"/>
    <col min="12287" max="12287" width="4.140625" style="268" customWidth="1"/>
    <col min="12288" max="12288" width="25.5703125" style="268" customWidth="1"/>
    <col min="12289" max="12290" width="7.7109375" style="268" customWidth="1"/>
    <col min="12291" max="12291" width="8.140625" style="268" customWidth="1"/>
    <col min="12292" max="12292" width="7.5703125" style="268" customWidth="1"/>
    <col min="12293" max="12293" width="7.42578125" style="268" customWidth="1"/>
    <col min="12294" max="12294" width="7.5703125" style="268" customWidth="1"/>
    <col min="12295" max="12295" width="7" style="268" customWidth="1"/>
    <col min="12296" max="12300" width="8.140625" style="268" customWidth="1"/>
    <col min="12301" max="12301" width="10.85546875" style="268" customWidth="1"/>
    <col min="12302" max="12542" width="9.140625" style="268"/>
    <col min="12543" max="12543" width="4.140625" style="268" customWidth="1"/>
    <col min="12544" max="12544" width="25.5703125" style="268" customWidth="1"/>
    <col min="12545" max="12546" width="7.7109375" style="268" customWidth="1"/>
    <col min="12547" max="12547" width="8.140625" style="268" customWidth="1"/>
    <col min="12548" max="12548" width="7.5703125" style="268" customWidth="1"/>
    <col min="12549" max="12549" width="7.42578125" style="268" customWidth="1"/>
    <col min="12550" max="12550" width="7.5703125" style="268" customWidth="1"/>
    <col min="12551" max="12551" width="7" style="268" customWidth="1"/>
    <col min="12552" max="12556" width="8.140625" style="268" customWidth="1"/>
    <col min="12557" max="12557" width="10.85546875" style="268" customWidth="1"/>
    <col min="12558" max="12798" width="9.140625" style="268"/>
    <col min="12799" max="12799" width="4.140625" style="268" customWidth="1"/>
    <col min="12800" max="12800" width="25.5703125" style="268" customWidth="1"/>
    <col min="12801" max="12802" width="7.7109375" style="268" customWidth="1"/>
    <col min="12803" max="12803" width="8.140625" style="268" customWidth="1"/>
    <col min="12804" max="12804" width="7.5703125" style="268" customWidth="1"/>
    <col min="12805" max="12805" width="7.42578125" style="268" customWidth="1"/>
    <col min="12806" max="12806" width="7.5703125" style="268" customWidth="1"/>
    <col min="12807" max="12807" width="7" style="268" customWidth="1"/>
    <col min="12808" max="12812" width="8.140625" style="268" customWidth="1"/>
    <col min="12813" max="12813" width="10.85546875" style="268" customWidth="1"/>
    <col min="12814" max="13054" width="9.140625" style="268"/>
    <col min="13055" max="13055" width="4.140625" style="268" customWidth="1"/>
    <col min="13056" max="13056" width="25.5703125" style="268" customWidth="1"/>
    <col min="13057" max="13058" width="7.7109375" style="268" customWidth="1"/>
    <col min="13059" max="13059" width="8.140625" style="268" customWidth="1"/>
    <col min="13060" max="13060" width="7.5703125" style="268" customWidth="1"/>
    <col min="13061" max="13061" width="7.42578125" style="268" customWidth="1"/>
    <col min="13062" max="13062" width="7.5703125" style="268" customWidth="1"/>
    <col min="13063" max="13063" width="7" style="268" customWidth="1"/>
    <col min="13064" max="13068" width="8.140625" style="268" customWidth="1"/>
    <col min="13069" max="13069" width="10.85546875" style="268" customWidth="1"/>
    <col min="13070" max="13310" width="9.140625" style="268"/>
    <col min="13311" max="13311" width="4.140625" style="268" customWidth="1"/>
    <col min="13312" max="13312" width="25.5703125" style="268" customWidth="1"/>
    <col min="13313" max="13314" width="7.7109375" style="268" customWidth="1"/>
    <col min="13315" max="13315" width="8.140625" style="268" customWidth="1"/>
    <col min="13316" max="13316" width="7.5703125" style="268" customWidth="1"/>
    <col min="13317" max="13317" width="7.42578125" style="268" customWidth="1"/>
    <col min="13318" max="13318" width="7.5703125" style="268" customWidth="1"/>
    <col min="13319" max="13319" width="7" style="268" customWidth="1"/>
    <col min="13320" max="13324" width="8.140625" style="268" customWidth="1"/>
    <col min="13325" max="13325" width="10.85546875" style="268" customWidth="1"/>
    <col min="13326" max="13566" width="9.140625" style="268"/>
    <col min="13567" max="13567" width="4.140625" style="268" customWidth="1"/>
    <col min="13568" max="13568" width="25.5703125" style="268" customWidth="1"/>
    <col min="13569" max="13570" width="7.7109375" style="268" customWidth="1"/>
    <col min="13571" max="13571" width="8.140625" style="268" customWidth="1"/>
    <col min="13572" max="13572" width="7.5703125" style="268" customWidth="1"/>
    <col min="13573" max="13573" width="7.42578125" style="268" customWidth="1"/>
    <col min="13574" max="13574" width="7.5703125" style="268" customWidth="1"/>
    <col min="13575" max="13575" width="7" style="268" customWidth="1"/>
    <col min="13576" max="13580" width="8.140625" style="268" customWidth="1"/>
    <col min="13581" max="13581" width="10.85546875" style="268" customWidth="1"/>
    <col min="13582" max="13822" width="9.140625" style="268"/>
    <col min="13823" max="13823" width="4.140625" style="268" customWidth="1"/>
    <col min="13824" max="13824" width="25.5703125" style="268" customWidth="1"/>
    <col min="13825" max="13826" width="7.7109375" style="268" customWidth="1"/>
    <col min="13827" max="13827" width="8.140625" style="268" customWidth="1"/>
    <col min="13828" max="13828" width="7.5703125" style="268" customWidth="1"/>
    <col min="13829" max="13829" width="7.42578125" style="268" customWidth="1"/>
    <col min="13830" max="13830" width="7.5703125" style="268" customWidth="1"/>
    <col min="13831" max="13831" width="7" style="268" customWidth="1"/>
    <col min="13832" max="13836" width="8.140625" style="268" customWidth="1"/>
    <col min="13837" max="13837" width="10.85546875" style="268" customWidth="1"/>
    <col min="13838" max="14078" width="9.140625" style="268"/>
    <col min="14079" max="14079" width="4.140625" style="268" customWidth="1"/>
    <col min="14080" max="14080" width="25.5703125" style="268" customWidth="1"/>
    <col min="14081" max="14082" width="7.7109375" style="268" customWidth="1"/>
    <col min="14083" max="14083" width="8.140625" style="268" customWidth="1"/>
    <col min="14084" max="14084" width="7.5703125" style="268" customWidth="1"/>
    <col min="14085" max="14085" width="7.42578125" style="268" customWidth="1"/>
    <col min="14086" max="14086" width="7.5703125" style="268" customWidth="1"/>
    <col min="14087" max="14087" width="7" style="268" customWidth="1"/>
    <col min="14088" max="14092" width="8.140625" style="268" customWidth="1"/>
    <col min="14093" max="14093" width="10.85546875" style="268" customWidth="1"/>
    <col min="14094" max="14334" width="9.140625" style="268"/>
    <col min="14335" max="14335" width="4.140625" style="268" customWidth="1"/>
    <col min="14336" max="14336" width="25.5703125" style="268" customWidth="1"/>
    <col min="14337" max="14338" width="7.7109375" style="268" customWidth="1"/>
    <col min="14339" max="14339" width="8.140625" style="268" customWidth="1"/>
    <col min="14340" max="14340" width="7.5703125" style="268" customWidth="1"/>
    <col min="14341" max="14341" width="7.42578125" style="268" customWidth="1"/>
    <col min="14342" max="14342" width="7.5703125" style="268" customWidth="1"/>
    <col min="14343" max="14343" width="7" style="268" customWidth="1"/>
    <col min="14344" max="14348" width="8.140625" style="268" customWidth="1"/>
    <col min="14349" max="14349" width="10.85546875" style="268" customWidth="1"/>
    <col min="14350" max="14590" width="9.140625" style="268"/>
    <col min="14591" max="14591" width="4.140625" style="268" customWidth="1"/>
    <col min="14592" max="14592" width="25.5703125" style="268" customWidth="1"/>
    <col min="14593" max="14594" width="7.7109375" style="268" customWidth="1"/>
    <col min="14595" max="14595" width="8.140625" style="268" customWidth="1"/>
    <col min="14596" max="14596" width="7.5703125" style="268" customWidth="1"/>
    <col min="14597" max="14597" width="7.42578125" style="268" customWidth="1"/>
    <col min="14598" max="14598" width="7.5703125" style="268" customWidth="1"/>
    <col min="14599" max="14599" width="7" style="268" customWidth="1"/>
    <col min="14600" max="14604" width="8.140625" style="268" customWidth="1"/>
    <col min="14605" max="14605" width="10.85546875" style="268" customWidth="1"/>
    <col min="14606" max="14846" width="9.140625" style="268"/>
    <col min="14847" max="14847" width="4.140625" style="268" customWidth="1"/>
    <col min="14848" max="14848" width="25.5703125" style="268" customWidth="1"/>
    <col min="14849" max="14850" width="7.7109375" style="268" customWidth="1"/>
    <col min="14851" max="14851" width="8.140625" style="268" customWidth="1"/>
    <col min="14852" max="14852" width="7.5703125" style="268" customWidth="1"/>
    <col min="14853" max="14853" width="7.42578125" style="268" customWidth="1"/>
    <col min="14854" max="14854" width="7.5703125" style="268" customWidth="1"/>
    <col min="14855" max="14855" width="7" style="268" customWidth="1"/>
    <col min="14856" max="14860" width="8.140625" style="268" customWidth="1"/>
    <col min="14861" max="14861" width="10.85546875" style="268" customWidth="1"/>
    <col min="14862" max="15102" width="9.140625" style="268"/>
    <col min="15103" max="15103" width="4.140625" style="268" customWidth="1"/>
    <col min="15104" max="15104" width="25.5703125" style="268" customWidth="1"/>
    <col min="15105" max="15106" width="7.7109375" style="268" customWidth="1"/>
    <col min="15107" max="15107" width="8.140625" style="268" customWidth="1"/>
    <col min="15108" max="15108" width="7.5703125" style="268" customWidth="1"/>
    <col min="15109" max="15109" width="7.42578125" style="268" customWidth="1"/>
    <col min="15110" max="15110" width="7.5703125" style="268" customWidth="1"/>
    <col min="15111" max="15111" width="7" style="268" customWidth="1"/>
    <col min="15112" max="15116" width="8.140625" style="268" customWidth="1"/>
    <col min="15117" max="15117" width="10.85546875" style="268" customWidth="1"/>
    <col min="15118" max="15358" width="9.140625" style="268"/>
    <col min="15359" max="15359" width="4.140625" style="268" customWidth="1"/>
    <col min="15360" max="15360" width="25.5703125" style="268" customWidth="1"/>
    <col min="15361" max="15362" width="7.7109375" style="268" customWidth="1"/>
    <col min="15363" max="15363" width="8.140625" style="268" customWidth="1"/>
    <col min="15364" max="15364" width="7.5703125" style="268" customWidth="1"/>
    <col min="15365" max="15365" width="7.42578125" style="268" customWidth="1"/>
    <col min="15366" max="15366" width="7.5703125" style="268" customWidth="1"/>
    <col min="15367" max="15367" width="7" style="268" customWidth="1"/>
    <col min="15368" max="15372" width="8.140625" style="268" customWidth="1"/>
    <col min="15373" max="15373" width="10.85546875" style="268" customWidth="1"/>
    <col min="15374" max="15614" width="9.140625" style="268"/>
    <col min="15615" max="15615" width="4.140625" style="268" customWidth="1"/>
    <col min="15616" max="15616" width="25.5703125" style="268" customWidth="1"/>
    <col min="15617" max="15618" width="7.7109375" style="268" customWidth="1"/>
    <col min="15619" max="15619" width="8.140625" style="268" customWidth="1"/>
    <col min="15620" max="15620" width="7.5703125" style="268" customWidth="1"/>
    <col min="15621" max="15621" width="7.42578125" style="268" customWidth="1"/>
    <col min="15622" max="15622" width="7.5703125" style="268" customWidth="1"/>
    <col min="15623" max="15623" width="7" style="268" customWidth="1"/>
    <col min="15624" max="15628" width="8.140625" style="268" customWidth="1"/>
    <col min="15629" max="15629" width="10.85546875" style="268" customWidth="1"/>
    <col min="15630" max="15870" width="9.140625" style="268"/>
    <col min="15871" max="15871" width="4.140625" style="268" customWidth="1"/>
    <col min="15872" max="15872" width="25.5703125" style="268" customWidth="1"/>
    <col min="15873" max="15874" width="7.7109375" style="268" customWidth="1"/>
    <col min="15875" max="15875" width="8.140625" style="268" customWidth="1"/>
    <col min="15876" max="15876" width="7.5703125" style="268" customWidth="1"/>
    <col min="15877" max="15877" width="7.42578125" style="268" customWidth="1"/>
    <col min="15878" max="15878" width="7.5703125" style="268" customWidth="1"/>
    <col min="15879" max="15879" width="7" style="268" customWidth="1"/>
    <col min="15880" max="15884" width="8.140625" style="268" customWidth="1"/>
    <col min="15885" max="15885" width="10.85546875" style="268" customWidth="1"/>
    <col min="15886" max="16126" width="9.140625" style="268"/>
    <col min="16127" max="16127" width="4.140625" style="268" customWidth="1"/>
    <col min="16128" max="16128" width="25.5703125" style="268" customWidth="1"/>
    <col min="16129" max="16130" width="7.7109375" style="268" customWidth="1"/>
    <col min="16131" max="16131" width="8.140625" style="268" customWidth="1"/>
    <col min="16132" max="16132" width="7.5703125" style="268" customWidth="1"/>
    <col min="16133" max="16133" width="7.42578125" style="268" customWidth="1"/>
    <col min="16134" max="16134" width="7.5703125" style="268" customWidth="1"/>
    <col min="16135" max="16135" width="7" style="268" customWidth="1"/>
    <col min="16136" max="16140" width="8.140625" style="268" customWidth="1"/>
    <col min="16141" max="16141" width="10.85546875" style="268" customWidth="1"/>
    <col min="16142" max="16384" width="9.140625" style="268"/>
  </cols>
  <sheetData>
    <row r="1" spans="1:15" ht="24.75" customHeight="1">
      <c r="A1" s="1380" t="s">
        <v>368</v>
      </c>
      <c r="B1" s="1381"/>
      <c r="C1" s="1381"/>
      <c r="D1" s="1381"/>
      <c r="E1" s="1381"/>
      <c r="F1" s="1381"/>
      <c r="G1" s="1381"/>
      <c r="H1" s="1381"/>
      <c r="I1" s="1381"/>
      <c r="J1" s="1381"/>
      <c r="K1" s="1381"/>
      <c r="L1" s="1381"/>
      <c r="M1" s="1381"/>
      <c r="N1" s="1381"/>
      <c r="O1" s="1381"/>
    </row>
    <row r="2" spans="1:15" ht="12.6" customHeight="1" thickBot="1">
      <c r="O2" s="1071" t="s">
        <v>692</v>
      </c>
    </row>
    <row r="3" spans="1:15" s="264" customFormat="1" ht="30" customHeight="1" thickBot="1">
      <c r="A3" s="838" t="s">
        <v>122</v>
      </c>
      <c r="B3" s="262" t="s">
        <v>65</v>
      </c>
      <c r="C3" s="262" t="s">
        <v>115</v>
      </c>
      <c r="D3" s="262" t="s">
        <v>116</v>
      </c>
      <c r="E3" s="262" t="s">
        <v>117</v>
      </c>
      <c r="F3" s="262" t="s">
        <v>118</v>
      </c>
      <c r="G3" s="262" t="s">
        <v>119</v>
      </c>
      <c r="H3" s="262" t="s">
        <v>120</v>
      </c>
      <c r="I3" s="262" t="s">
        <v>121</v>
      </c>
      <c r="J3" s="262" t="s">
        <v>297</v>
      </c>
      <c r="K3" s="262" t="s">
        <v>298</v>
      </c>
      <c r="L3" s="262" t="s">
        <v>299</v>
      </c>
      <c r="M3" s="262" t="s">
        <v>300</v>
      </c>
      <c r="N3" s="262" t="s">
        <v>301</v>
      </c>
      <c r="O3" s="263" t="s">
        <v>302</v>
      </c>
    </row>
    <row r="4" spans="1:15" s="264" customFormat="1" ht="24.6" customHeight="1" thickBot="1">
      <c r="A4" s="271"/>
      <c r="B4" s="1382" t="s">
        <v>8</v>
      </c>
      <c r="C4" s="1383"/>
      <c r="D4" s="1383"/>
      <c r="E4" s="1383"/>
      <c r="F4" s="1383"/>
      <c r="G4" s="1383"/>
      <c r="H4" s="1383"/>
      <c r="I4" s="1383"/>
      <c r="J4" s="1383"/>
      <c r="K4" s="1383"/>
      <c r="L4" s="1383"/>
      <c r="M4" s="1383"/>
      <c r="N4" s="1383"/>
      <c r="O4" s="1384"/>
    </row>
    <row r="5" spans="1:15" s="264" customFormat="1" ht="22.15" customHeight="1">
      <c r="A5" s="1182" t="s">
        <v>21</v>
      </c>
      <c r="B5" s="272" t="s">
        <v>303</v>
      </c>
      <c r="C5" s="265">
        <v>1293605</v>
      </c>
      <c r="D5" s="1023">
        <f>+C26</f>
        <v>1266741</v>
      </c>
      <c r="E5" s="1023">
        <f>+D26</f>
        <v>1229957</v>
      </c>
      <c r="F5" s="1023">
        <f>+E26</f>
        <v>1515554</v>
      </c>
      <c r="G5" s="1023">
        <f t="shared" ref="G5:M5" si="0">+F26</f>
        <v>1656965</v>
      </c>
      <c r="H5" s="1023">
        <f t="shared" si="0"/>
        <v>2292451</v>
      </c>
      <c r="I5" s="1023">
        <f t="shared" si="0"/>
        <v>1908890</v>
      </c>
      <c r="J5" s="1023">
        <f t="shared" si="0"/>
        <v>1654754</v>
      </c>
      <c r="K5" s="1023">
        <f t="shared" si="0"/>
        <v>1478799</v>
      </c>
      <c r="L5" s="1023">
        <f t="shared" si="0"/>
        <v>1692707</v>
      </c>
      <c r="M5" s="1023">
        <f t="shared" si="0"/>
        <v>1518516</v>
      </c>
      <c r="N5" s="1023">
        <f>+M26</f>
        <v>1393500</v>
      </c>
      <c r="O5" s="266" t="s">
        <v>304</v>
      </c>
    </row>
    <row r="6" spans="1:15" s="264" customFormat="1" ht="28.9" customHeight="1">
      <c r="A6" s="1183" t="s">
        <v>22</v>
      </c>
      <c r="B6" s="839" t="s">
        <v>194</v>
      </c>
      <c r="C6" s="1023">
        <f>103556+19264</f>
        <v>122820</v>
      </c>
      <c r="D6" s="1023">
        <v>103557</v>
      </c>
      <c r="E6" s="1023">
        <v>103556</v>
      </c>
      <c r="F6" s="1023">
        <v>103557</v>
      </c>
      <c r="G6" s="1023">
        <v>103556</v>
      </c>
      <c r="H6" s="1023">
        <v>103557</v>
      </c>
      <c r="I6" s="1023">
        <v>103556</v>
      </c>
      <c r="J6" s="1023">
        <v>103557</v>
      </c>
      <c r="K6" s="1023">
        <v>103556</v>
      </c>
      <c r="L6" s="1023">
        <v>103557</v>
      </c>
      <c r="M6" s="1023">
        <v>103556</v>
      </c>
      <c r="N6" s="1023">
        <v>103557</v>
      </c>
      <c r="O6" s="267">
        <f t="shared" ref="O6:O24" si="1">SUM(C6:N6)</f>
        <v>1261942</v>
      </c>
    </row>
    <row r="7" spans="1:15" ht="22.15" customHeight="1">
      <c r="A7" s="1183" t="s">
        <v>23</v>
      </c>
      <c r="B7" s="839" t="s">
        <v>204</v>
      </c>
      <c r="C7" s="1023">
        <v>20000</v>
      </c>
      <c r="D7" s="1023">
        <v>30000</v>
      </c>
      <c r="E7" s="1023">
        <v>350000</v>
      </c>
      <c r="F7" s="1023">
        <v>20000</v>
      </c>
      <c r="G7" s="1023">
        <v>91000</v>
      </c>
      <c r="H7" s="1023">
        <v>20000</v>
      </c>
      <c r="I7" s="1023">
        <v>20000</v>
      </c>
      <c r="J7" s="1023">
        <v>20000</v>
      </c>
      <c r="K7" s="1023">
        <v>397000</v>
      </c>
      <c r="L7" s="1023">
        <v>20000</v>
      </c>
      <c r="M7" s="1023">
        <v>20000</v>
      </c>
      <c r="N7" s="1023">
        <v>20000</v>
      </c>
      <c r="O7" s="267">
        <f t="shared" si="1"/>
        <v>1028000</v>
      </c>
    </row>
    <row r="8" spans="1:15" ht="22.15" customHeight="1">
      <c r="A8" s="1183" t="s">
        <v>24</v>
      </c>
      <c r="B8" s="839" t="s">
        <v>12</v>
      </c>
      <c r="C8" s="1023">
        <v>35000</v>
      </c>
      <c r="D8" s="1023">
        <v>35000</v>
      </c>
      <c r="E8" s="1023">
        <v>35000</v>
      </c>
      <c r="F8" s="1023">
        <v>38531</v>
      </c>
      <c r="G8" s="1023">
        <v>39000</v>
      </c>
      <c r="H8" s="1023">
        <v>35000</v>
      </c>
      <c r="I8" s="1023">
        <v>35000</v>
      </c>
      <c r="J8" s="1023">
        <v>35000</v>
      </c>
      <c r="K8" s="1023">
        <v>35000</v>
      </c>
      <c r="L8" s="1023">
        <v>35000</v>
      </c>
      <c r="M8" s="1023">
        <v>35000</v>
      </c>
      <c r="N8" s="1023">
        <f>35000-582</f>
        <v>34418</v>
      </c>
      <c r="O8" s="270">
        <f t="shared" si="1"/>
        <v>426949</v>
      </c>
    </row>
    <row r="9" spans="1:15" ht="22.15" customHeight="1">
      <c r="A9" s="1183" t="s">
        <v>25</v>
      </c>
      <c r="B9" s="839" t="s">
        <v>206</v>
      </c>
      <c r="C9" s="1023">
        <v>0</v>
      </c>
      <c r="D9" s="1023">
        <v>0</v>
      </c>
      <c r="E9" s="1023"/>
      <c r="F9" s="1023">
        <v>50</v>
      </c>
      <c r="G9" s="1023">
        <v>50</v>
      </c>
      <c r="H9" s="1023">
        <v>50</v>
      </c>
      <c r="I9" s="1023">
        <v>50</v>
      </c>
      <c r="J9" s="1023">
        <v>20</v>
      </c>
      <c r="K9" s="1023">
        <v>0</v>
      </c>
      <c r="L9" s="1023">
        <v>0</v>
      </c>
      <c r="M9" s="1023">
        <v>0</v>
      </c>
      <c r="N9" s="1023">
        <v>0</v>
      </c>
      <c r="O9" s="267">
        <f t="shared" si="1"/>
        <v>220</v>
      </c>
    </row>
    <row r="10" spans="1:15" ht="28.9" customHeight="1">
      <c r="A10" s="1183" t="s">
        <v>26</v>
      </c>
      <c r="B10" s="839" t="s">
        <v>195</v>
      </c>
      <c r="C10" s="1023">
        <v>0</v>
      </c>
      <c r="D10" s="1023"/>
      <c r="E10" s="1023">
        <v>200000</v>
      </c>
      <c r="F10" s="1023">
        <v>287114</v>
      </c>
      <c r="G10" s="1023">
        <v>0</v>
      </c>
      <c r="H10" s="1023">
        <v>0</v>
      </c>
      <c r="I10" s="1023">
        <v>0</v>
      </c>
      <c r="J10" s="1023">
        <v>10000</v>
      </c>
      <c r="K10" s="1023">
        <v>0</v>
      </c>
      <c r="L10" s="1023">
        <v>0</v>
      </c>
      <c r="M10" s="1023"/>
      <c r="N10" s="1023"/>
      <c r="O10" s="267">
        <f t="shared" si="1"/>
        <v>497114</v>
      </c>
    </row>
    <row r="11" spans="1:15" ht="22.15" customHeight="1">
      <c r="A11" s="1183" t="s">
        <v>27</v>
      </c>
      <c r="B11" s="839" t="s">
        <v>205</v>
      </c>
      <c r="C11" s="1023">
        <v>0</v>
      </c>
      <c r="D11" s="1023"/>
      <c r="E11" s="1023">
        <v>0</v>
      </c>
      <c r="F11" s="1023">
        <v>5000</v>
      </c>
      <c r="G11" s="1023"/>
      <c r="H11" s="1023">
        <v>5000</v>
      </c>
      <c r="I11" s="1023"/>
      <c r="J11" s="1023"/>
      <c r="K11" s="1023"/>
      <c r="L11" s="1023"/>
      <c r="M11" s="1023"/>
      <c r="N11" s="1023"/>
      <c r="O11" s="267">
        <f t="shared" si="1"/>
        <v>10000</v>
      </c>
    </row>
    <row r="12" spans="1:15" ht="22.15" customHeight="1">
      <c r="A12" s="1183" t="s">
        <v>28</v>
      </c>
      <c r="B12" s="839" t="s">
        <v>207</v>
      </c>
      <c r="C12" s="1023"/>
      <c r="D12" s="1023">
        <v>500</v>
      </c>
      <c r="E12" s="1023">
        <v>500</v>
      </c>
      <c r="F12" s="1023">
        <v>2000</v>
      </c>
      <c r="G12" s="1023">
        <v>2000</v>
      </c>
      <c r="H12" s="1023">
        <v>225</v>
      </c>
      <c r="I12" s="1023">
        <v>15</v>
      </c>
      <c r="J12" s="1023">
        <v>15</v>
      </c>
      <c r="K12" s="1023">
        <v>15</v>
      </c>
      <c r="L12" s="1023">
        <v>10</v>
      </c>
      <c r="M12" s="1023">
        <v>10</v>
      </c>
      <c r="N12" s="1023">
        <v>10</v>
      </c>
      <c r="O12" s="267">
        <f t="shared" si="1"/>
        <v>5300</v>
      </c>
    </row>
    <row r="13" spans="1:15" ht="22.15" customHeight="1" thickBot="1">
      <c r="A13" s="1183" t="s">
        <v>29</v>
      </c>
      <c r="B13" s="840" t="s">
        <v>208</v>
      </c>
      <c r="C13" s="1023">
        <v>0</v>
      </c>
      <c r="D13" s="1023">
        <v>0</v>
      </c>
      <c r="E13" s="1023">
        <v>0</v>
      </c>
      <c r="F13" s="1023">
        <v>0</v>
      </c>
      <c r="G13" s="1023">
        <v>869721</v>
      </c>
      <c r="H13" s="1023"/>
      <c r="I13" s="1023">
        <v>0</v>
      </c>
      <c r="J13" s="1023">
        <v>0</v>
      </c>
      <c r="K13" s="1023">
        <v>0</v>
      </c>
      <c r="L13" s="1023">
        <v>0</v>
      </c>
      <c r="M13" s="1023">
        <v>0</v>
      </c>
      <c r="N13" s="1023">
        <v>0</v>
      </c>
      <c r="O13" s="267">
        <f t="shared" si="1"/>
        <v>869721</v>
      </c>
    </row>
    <row r="14" spans="1:15" s="264" customFormat="1" ht="28.15" customHeight="1" thickBot="1">
      <c r="A14" s="1184" t="s">
        <v>36</v>
      </c>
      <c r="B14" s="275" t="s">
        <v>305</v>
      </c>
      <c r="C14" s="276">
        <f t="shared" ref="C14:N14" si="2">SUM(C5:C13)</f>
        <v>1471425</v>
      </c>
      <c r="D14" s="276">
        <f t="shared" si="2"/>
        <v>1435798</v>
      </c>
      <c r="E14" s="276">
        <f t="shared" si="2"/>
        <v>1919013</v>
      </c>
      <c r="F14" s="276">
        <f t="shared" si="2"/>
        <v>1971806</v>
      </c>
      <c r="G14" s="276">
        <f t="shared" si="2"/>
        <v>2762292</v>
      </c>
      <c r="H14" s="276">
        <f t="shared" si="2"/>
        <v>2456283</v>
      </c>
      <c r="I14" s="276">
        <f t="shared" si="2"/>
        <v>2067511</v>
      </c>
      <c r="J14" s="276">
        <f t="shared" si="2"/>
        <v>1823346</v>
      </c>
      <c r="K14" s="276">
        <f t="shared" si="2"/>
        <v>2014370</v>
      </c>
      <c r="L14" s="276">
        <f t="shared" si="2"/>
        <v>1851274</v>
      </c>
      <c r="M14" s="276">
        <f t="shared" si="2"/>
        <v>1677082</v>
      </c>
      <c r="N14" s="276">
        <f t="shared" si="2"/>
        <v>1551485</v>
      </c>
      <c r="O14" s="366">
        <v>0</v>
      </c>
    </row>
    <row r="15" spans="1:15" s="264" customFormat="1" ht="24" customHeight="1" thickBot="1">
      <c r="A15" s="271"/>
      <c r="B15" s="1385" t="s">
        <v>9</v>
      </c>
      <c r="C15" s="1386"/>
      <c r="D15" s="1386"/>
      <c r="E15" s="1386"/>
      <c r="F15" s="1386"/>
      <c r="G15" s="1386"/>
      <c r="H15" s="1386"/>
      <c r="I15" s="1386"/>
      <c r="J15" s="1386"/>
      <c r="K15" s="1386"/>
      <c r="L15" s="1386"/>
      <c r="M15" s="1386"/>
      <c r="N15" s="1386"/>
      <c r="O15" s="1387"/>
    </row>
    <row r="16" spans="1:15" ht="22.15" customHeight="1">
      <c r="A16" s="1185" t="s">
        <v>108</v>
      </c>
      <c r="B16" s="273" t="s">
        <v>6</v>
      </c>
      <c r="C16" s="269">
        <v>86017</v>
      </c>
      <c r="D16" s="269">
        <v>86017</v>
      </c>
      <c r="E16" s="269">
        <v>86017</v>
      </c>
      <c r="F16" s="269">
        <v>86017</v>
      </c>
      <c r="G16" s="269">
        <v>86017</v>
      </c>
      <c r="H16" s="269">
        <v>86017</v>
      </c>
      <c r="I16" s="269">
        <v>86017</v>
      </c>
      <c r="J16" s="269">
        <v>86017</v>
      </c>
      <c r="K16" s="269">
        <v>86017</v>
      </c>
      <c r="L16" s="269">
        <v>86017</v>
      </c>
      <c r="M16" s="269">
        <v>86017</v>
      </c>
      <c r="N16" s="269">
        <v>86018</v>
      </c>
      <c r="O16" s="270">
        <f t="shared" si="1"/>
        <v>1032205</v>
      </c>
    </row>
    <row r="17" spans="1:15" ht="28.9" customHeight="1">
      <c r="A17" s="1183" t="s">
        <v>87</v>
      </c>
      <c r="B17" s="841" t="s">
        <v>162</v>
      </c>
      <c r="C17" s="1023">
        <v>17408</v>
      </c>
      <c r="D17" s="1023">
        <v>17408</v>
      </c>
      <c r="E17" s="1023">
        <v>17408</v>
      </c>
      <c r="F17" s="1023">
        <v>17408</v>
      </c>
      <c r="G17" s="1023">
        <v>17408</v>
      </c>
      <c r="H17" s="1023">
        <v>17408</v>
      </c>
      <c r="I17" s="1023">
        <v>17408</v>
      </c>
      <c r="J17" s="1023">
        <v>17408</v>
      </c>
      <c r="K17" s="1023">
        <v>17408</v>
      </c>
      <c r="L17" s="1023">
        <v>17408</v>
      </c>
      <c r="M17" s="1023">
        <v>17408</v>
      </c>
      <c r="N17" s="1023">
        <v>17407</v>
      </c>
      <c r="O17" s="267">
        <f t="shared" si="1"/>
        <v>208895</v>
      </c>
    </row>
    <row r="18" spans="1:15" ht="22.15" customHeight="1">
      <c r="A18" s="1183" t="s">
        <v>88</v>
      </c>
      <c r="B18" s="840" t="s">
        <v>78</v>
      </c>
      <c r="C18" s="1023">
        <f>76108+2083</f>
        <v>78191</v>
      </c>
      <c r="D18" s="1023">
        <f t="shared" ref="D18:G18" si="3">76108+2083</f>
        <v>78191</v>
      </c>
      <c r="E18" s="1023">
        <f t="shared" si="3"/>
        <v>78191</v>
      </c>
      <c r="F18" s="1023">
        <f t="shared" si="3"/>
        <v>78191</v>
      </c>
      <c r="G18" s="1023">
        <f t="shared" si="3"/>
        <v>78191</v>
      </c>
      <c r="H18" s="1023">
        <f>76108+2083-3</f>
        <v>78188</v>
      </c>
      <c r="I18" s="1023">
        <v>76107</v>
      </c>
      <c r="J18" s="269">
        <v>76108</v>
      </c>
      <c r="K18" s="1023">
        <v>76107</v>
      </c>
      <c r="L18" s="269">
        <v>76108</v>
      </c>
      <c r="M18" s="1023">
        <v>76108</v>
      </c>
      <c r="N18" s="269">
        <v>76108</v>
      </c>
      <c r="O18" s="267">
        <f t="shared" si="1"/>
        <v>925789</v>
      </c>
    </row>
    <row r="19" spans="1:15" ht="22.15" customHeight="1">
      <c r="A19" s="1183" t="s">
        <v>110</v>
      </c>
      <c r="B19" s="840" t="s">
        <v>7</v>
      </c>
      <c r="C19" s="1023">
        <v>3225</v>
      </c>
      <c r="D19" s="1023">
        <v>3225</v>
      </c>
      <c r="E19" s="1023">
        <v>3225</v>
      </c>
      <c r="F19" s="1023">
        <v>3225</v>
      </c>
      <c r="G19" s="1023">
        <v>3225</v>
      </c>
      <c r="H19" s="1023">
        <v>3225</v>
      </c>
      <c r="I19" s="1023">
        <v>3225</v>
      </c>
      <c r="J19" s="1023">
        <v>3225</v>
      </c>
      <c r="K19" s="1023">
        <v>3225</v>
      </c>
      <c r="L19" s="1023">
        <v>3225</v>
      </c>
      <c r="M19" s="1023">
        <v>3225</v>
      </c>
      <c r="N19" s="1023">
        <v>3225</v>
      </c>
      <c r="O19" s="267">
        <f t="shared" si="1"/>
        <v>38700</v>
      </c>
    </row>
    <row r="20" spans="1:15" ht="22.15" customHeight="1">
      <c r="A20" s="1183" t="s">
        <v>113</v>
      </c>
      <c r="B20" s="840" t="s">
        <v>189</v>
      </c>
      <c r="C20" s="1023"/>
      <c r="D20" s="1023">
        <v>0</v>
      </c>
      <c r="E20" s="1023">
        <v>90000</v>
      </c>
      <c r="F20" s="1023">
        <v>50000</v>
      </c>
      <c r="G20" s="1023">
        <v>80000</v>
      </c>
      <c r="H20" s="1023">
        <v>77555</v>
      </c>
      <c r="I20" s="1023">
        <v>100000</v>
      </c>
      <c r="J20" s="1023">
        <v>80000</v>
      </c>
      <c r="K20" s="1023">
        <v>110000</v>
      </c>
      <c r="L20" s="1023">
        <v>120000</v>
      </c>
      <c r="M20" s="1023">
        <v>100000</v>
      </c>
      <c r="N20" s="1023">
        <f>70810+4312</f>
        <v>75122</v>
      </c>
      <c r="O20" s="267">
        <f t="shared" si="1"/>
        <v>882677</v>
      </c>
    </row>
    <row r="21" spans="1:15" ht="22.15" customHeight="1">
      <c r="A21" s="1183" t="s">
        <v>127</v>
      </c>
      <c r="B21" s="840" t="s">
        <v>191</v>
      </c>
      <c r="C21" s="1023">
        <v>19843</v>
      </c>
      <c r="D21" s="1023">
        <v>21000</v>
      </c>
      <c r="E21" s="1023">
        <v>0</v>
      </c>
      <c r="F21" s="1023">
        <v>30000</v>
      </c>
      <c r="G21" s="1023">
        <v>180000</v>
      </c>
      <c r="H21" s="1023">
        <v>250000</v>
      </c>
      <c r="I21" s="1023">
        <v>100000</v>
      </c>
      <c r="J21" s="1023">
        <v>60000</v>
      </c>
      <c r="K21" s="1023">
        <v>8906</v>
      </c>
      <c r="L21" s="1023">
        <v>0</v>
      </c>
      <c r="M21" s="1023">
        <v>0</v>
      </c>
      <c r="N21" s="1023">
        <v>0</v>
      </c>
      <c r="O21" s="267">
        <f t="shared" si="1"/>
        <v>669749</v>
      </c>
    </row>
    <row r="22" spans="1:15" ht="22.15" customHeight="1">
      <c r="A22" s="1183" t="s">
        <v>128</v>
      </c>
      <c r="B22" s="841" t="s">
        <v>16</v>
      </c>
      <c r="C22" s="1023"/>
      <c r="D22" s="1023">
        <v>0</v>
      </c>
      <c r="E22" s="1023">
        <v>0</v>
      </c>
      <c r="F22" s="1023">
        <v>0</v>
      </c>
      <c r="G22" s="1023">
        <v>20000</v>
      </c>
      <c r="H22" s="1023">
        <v>30000</v>
      </c>
      <c r="I22" s="1023">
        <v>20000</v>
      </c>
      <c r="J22" s="1023">
        <v>20000</v>
      </c>
      <c r="K22" s="1023">
        <v>20000</v>
      </c>
      <c r="L22" s="1023">
        <v>30000</v>
      </c>
      <c r="M22" s="1023">
        <v>824</v>
      </c>
      <c r="N22" s="1023">
        <v>0</v>
      </c>
      <c r="O22" s="267">
        <f t="shared" si="1"/>
        <v>140824</v>
      </c>
    </row>
    <row r="23" spans="1:15" ht="22.15" customHeight="1">
      <c r="A23" s="1183" t="s">
        <v>130</v>
      </c>
      <c r="B23" s="840" t="s">
        <v>306</v>
      </c>
      <c r="C23" s="1023">
        <v>0</v>
      </c>
      <c r="D23" s="1023">
        <v>0</v>
      </c>
      <c r="E23" s="1023">
        <v>80000</v>
      </c>
      <c r="F23" s="1023">
        <v>50000</v>
      </c>
      <c r="G23" s="1023">
        <v>5000</v>
      </c>
      <c r="H23" s="1023">
        <v>5000</v>
      </c>
      <c r="I23" s="1023">
        <v>10000</v>
      </c>
      <c r="J23" s="1023">
        <v>1789</v>
      </c>
      <c r="K23" s="1023"/>
      <c r="L23" s="1023">
        <v>0</v>
      </c>
      <c r="M23" s="1023">
        <v>0</v>
      </c>
      <c r="N23" s="1023"/>
      <c r="O23" s="267">
        <f>SUM(C23:N23)</f>
        <v>151789</v>
      </c>
    </row>
    <row r="24" spans="1:15" ht="22.15" customHeight="1" thickBot="1">
      <c r="A24" s="1183" t="s">
        <v>131</v>
      </c>
      <c r="B24" s="840" t="s">
        <v>83</v>
      </c>
      <c r="C24" s="1023"/>
      <c r="D24" s="1023">
        <v>0</v>
      </c>
      <c r="E24" s="1023">
        <v>48618</v>
      </c>
      <c r="F24" s="1023">
        <v>0</v>
      </c>
      <c r="G24" s="1023">
        <v>0</v>
      </c>
      <c r="H24" s="1023">
        <v>0</v>
      </c>
      <c r="I24" s="1023">
        <v>0</v>
      </c>
      <c r="J24" s="1023">
        <v>0</v>
      </c>
      <c r="K24" s="1023">
        <v>0</v>
      </c>
      <c r="L24" s="1023">
        <v>0</v>
      </c>
      <c r="M24" s="1023">
        <v>0</v>
      </c>
      <c r="N24" s="1023">
        <v>0</v>
      </c>
      <c r="O24" s="267">
        <f t="shared" si="1"/>
        <v>48618</v>
      </c>
    </row>
    <row r="25" spans="1:15" s="264" customFormat="1" ht="28.15" customHeight="1" thickBot="1">
      <c r="A25" s="1186" t="s">
        <v>1</v>
      </c>
      <c r="B25" s="275" t="s">
        <v>307</v>
      </c>
      <c r="C25" s="276">
        <f t="shared" ref="C25:N25" si="4">SUM(C16:C24)</f>
        <v>204684</v>
      </c>
      <c r="D25" s="276">
        <f t="shared" si="4"/>
        <v>205841</v>
      </c>
      <c r="E25" s="276">
        <f t="shared" si="4"/>
        <v>403459</v>
      </c>
      <c r="F25" s="276">
        <f t="shared" ref="F25:L25" si="5">SUM(F16:F24)</f>
        <v>314841</v>
      </c>
      <c r="G25" s="276">
        <f t="shared" si="5"/>
        <v>469841</v>
      </c>
      <c r="H25" s="276">
        <f t="shared" si="5"/>
        <v>547393</v>
      </c>
      <c r="I25" s="276">
        <f t="shared" si="5"/>
        <v>412757</v>
      </c>
      <c r="J25" s="276">
        <f t="shared" si="5"/>
        <v>344547</v>
      </c>
      <c r="K25" s="276">
        <f t="shared" si="5"/>
        <v>321663</v>
      </c>
      <c r="L25" s="276">
        <f t="shared" si="5"/>
        <v>332758</v>
      </c>
      <c r="M25" s="276">
        <f t="shared" si="4"/>
        <v>283582</v>
      </c>
      <c r="N25" s="276">
        <f t="shared" si="4"/>
        <v>257880</v>
      </c>
      <c r="O25" s="276">
        <f>SUM(O16:O24)</f>
        <v>4099246</v>
      </c>
    </row>
    <row r="26" spans="1:15" ht="28.15" customHeight="1" thickBot="1">
      <c r="A26" s="1186" t="s">
        <v>2</v>
      </c>
      <c r="B26" s="275" t="s">
        <v>430</v>
      </c>
      <c r="C26" s="276">
        <f>C14-C25</f>
        <v>1266741</v>
      </c>
      <c r="D26" s="276">
        <f t="shared" ref="D26:N26" si="6">D14-D25</f>
        <v>1229957</v>
      </c>
      <c r="E26" s="276">
        <f t="shared" si="6"/>
        <v>1515554</v>
      </c>
      <c r="F26" s="276">
        <f t="shared" si="6"/>
        <v>1656965</v>
      </c>
      <c r="G26" s="276">
        <f t="shared" si="6"/>
        <v>2292451</v>
      </c>
      <c r="H26" s="276">
        <f t="shared" si="6"/>
        <v>1908890</v>
      </c>
      <c r="I26" s="276">
        <f t="shared" si="6"/>
        <v>1654754</v>
      </c>
      <c r="J26" s="276">
        <f t="shared" si="6"/>
        <v>1478799</v>
      </c>
      <c r="K26" s="276">
        <f t="shared" si="6"/>
        <v>1692707</v>
      </c>
      <c r="L26" s="276">
        <f t="shared" si="6"/>
        <v>1518516</v>
      </c>
      <c r="M26" s="276">
        <f t="shared" si="6"/>
        <v>1393500</v>
      </c>
      <c r="N26" s="276">
        <f t="shared" si="6"/>
        <v>1293605</v>
      </c>
      <c r="O26" s="1181" t="s">
        <v>304</v>
      </c>
    </row>
    <row r="28" spans="1:15">
      <c r="B28" s="274"/>
      <c r="C28" s="274"/>
      <c r="D28" s="274"/>
    </row>
  </sheetData>
  <mergeCells count="3">
    <mergeCell ref="A1:O1"/>
    <mergeCell ref="B4:O4"/>
    <mergeCell ref="B15:O15"/>
  </mergeCells>
  <pageMargins left="0.70866141732283472" right="0.70866141732283472" top="0.78740157480314965" bottom="0.78740157480314965" header="0.31496062992125984" footer="0.31496062992125984"/>
  <pageSetup paperSize="9" scale="73" orientation="landscape" r:id="rId1"/>
  <headerFooter>
    <oddHeader>&amp;L&amp;"Arial,Dőlt"&amp;U15. melléklet a   2/2020. (II.14.).önkormányzati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P29"/>
  <sheetViews>
    <sheetView view="pageLayout" zoomScaleNormal="100" zoomScaleSheetLayoutView="70" workbookViewId="0">
      <selection activeCell="A5" sqref="A5"/>
    </sheetView>
  </sheetViews>
  <sheetFormatPr defaultColWidth="9.140625" defaultRowHeight="15"/>
  <cols>
    <col min="1" max="1" width="33.7109375" style="413" customWidth="1"/>
    <col min="2" max="2" width="17.28515625" style="90" bestFit="1" customWidth="1"/>
    <col min="3" max="3" width="15.42578125" style="90" bestFit="1" customWidth="1"/>
    <col min="4" max="5" width="15.5703125" style="90" bestFit="1" customWidth="1"/>
    <col min="6" max="6" width="12.42578125" style="90" bestFit="1" customWidth="1"/>
    <col min="7" max="8" width="14.28515625" style="90" bestFit="1" customWidth="1"/>
    <col min="9" max="13" width="13.7109375" style="90" customWidth="1"/>
    <col min="14" max="14" width="17.140625" style="90" customWidth="1"/>
    <col min="15" max="15" width="17.28515625" style="90" bestFit="1" customWidth="1"/>
    <col min="16" max="16" width="12.140625" style="90" customWidth="1"/>
    <col min="17" max="16384" width="9.140625" style="90"/>
  </cols>
  <sheetData>
    <row r="1" spans="1:16" ht="15.75">
      <c r="A1" s="1388" t="s">
        <v>387</v>
      </c>
      <c r="B1" s="1388"/>
      <c r="C1" s="1388"/>
      <c r="D1" s="1388"/>
      <c r="E1" s="1388"/>
      <c r="F1" s="1388"/>
      <c r="G1" s="1388"/>
      <c r="H1" s="1388"/>
      <c r="I1" s="1388"/>
      <c r="J1" s="1388"/>
      <c r="K1" s="1388"/>
      <c r="L1" s="1388"/>
      <c r="M1" s="1388"/>
      <c r="N1" s="1388"/>
      <c r="O1" s="1388"/>
    </row>
    <row r="2" spans="1:16" ht="15.75" thickBot="1">
      <c r="O2" s="1066" t="s">
        <v>692</v>
      </c>
    </row>
    <row r="3" spans="1:16" s="417" customFormat="1" thickBot="1">
      <c r="A3" s="414"/>
      <c r="B3" s="415" t="s">
        <v>388</v>
      </c>
      <c r="C3" s="415" t="s">
        <v>115</v>
      </c>
      <c r="D3" s="415" t="s">
        <v>116</v>
      </c>
      <c r="E3" s="415" t="s">
        <v>117</v>
      </c>
      <c r="F3" s="415" t="s">
        <v>118</v>
      </c>
      <c r="G3" s="415" t="s">
        <v>119</v>
      </c>
      <c r="H3" s="415" t="s">
        <v>120</v>
      </c>
      <c r="I3" s="415" t="s">
        <v>121</v>
      </c>
      <c r="J3" s="415" t="s">
        <v>389</v>
      </c>
      <c r="K3" s="415" t="s">
        <v>390</v>
      </c>
      <c r="L3" s="415" t="s">
        <v>391</v>
      </c>
      <c r="M3" s="415" t="s">
        <v>392</v>
      </c>
      <c r="N3" s="415" t="s">
        <v>393</v>
      </c>
      <c r="O3" s="416" t="s">
        <v>693</v>
      </c>
    </row>
    <row r="4" spans="1:16" s="418" customFormat="1" ht="15.75">
      <c r="A4" s="1389" t="s">
        <v>394</v>
      </c>
      <c r="B4" s="1390"/>
      <c r="C4" s="1390"/>
      <c r="D4" s="1390"/>
      <c r="E4" s="1390"/>
      <c r="F4" s="1390"/>
      <c r="G4" s="1390"/>
      <c r="H4" s="1390"/>
      <c r="I4" s="1390"/>
      <c r="J4" s="1390"/>
      <c r="K4" s="1390"/>
      <c r="L4" s="1390"/>
      <c r="M4" s="1390"/>
      <c r="N4" s="1390"/>
      <c r="O4" s="1391"/>
    </row>
    <row r="5" spans="1:16" s="418" customFormat="1" ht="30" customHeight="1">
      <c r="A5" s="419" t="s">
        <v>194</v>
      </c>
      <c r="B5" s="1024">
        <f>'2'!B5</f>
        <v>1261942</v>
      </c>
      <c r="C5" s="1024">
        <v>105162</v>
      </c>
      <c r="D5" s="1024">
        <v>105162</v>
      </c>
      <c r="E5" s="1024">
        <v>105162</v>
      </c>
      <c r="F5" s="1024">
        <v>105162</v>
      </c>
      <c r="G5" s="1024">
        <v>105162</v>
      </c>
      <c r="H5" s="1024">
        <v>105162</v>
      </c>
      <c r="I5" s="1024">
        <v>105162</v>
      </c>
      <c r="J5" s="1024">
        <v>105162</v>
      </c>
      <c r="K5" s="1024">
        <v>105162</v>
      </c>
      <c r="L5" s="1024">
        <v>105162</v>
      </c>
      <c r="M5" s="1024">
        <v>105161</v>
      </c>
      <c r="N5" s="1024">
        <v>105161</v>
      </c>
      <c r="O5" s="420">
        <f t="shared" ref="O5:O14" si="0">SUM(C5:N5)</f>
        <v>1261942</v>
      </c>
      <c r="P5" s="421">
        <f>B5-O5</f>
        <v>0</v>
      </c>
    </row>
    <row r="6" spans="1:16" s="418" customFormat="1" ht="30" customHeight="1">
      <c r="A6" s="419" t="s">
        <v>204</v>
      </c>
      <c r="B6" s="1024">
        <f>'2'!B6</f>
        <v>1028000</v>
      </c>
      <c r="C6" s="1024">
        <v>16000</v>
      </c>
      <c r="D6" s="1024">
        <v>20000</v>
      </c>
      <c r="E6" s="1024">
        <v>350000</v>
      </c>
      <c r="F6" s="1024">
        <v>20000</v>
      </c>
      <c r="G6" s="1024">
        <v>90000</v>
      </c>
      <c r="H6" s="1024">
        <v>20000</v>
      </c>
      <c r="I6" s="1024">
        <v>20000</v>
      </c>
      <c r="J6" s="1024">
        <v>20000</v>
      </c>
      <c r="K6" s="1024">
        <v>397000</v>
      </c>
      <c r="L6" s="1024">
        <v>30000</v>
      </c>
      <c r="M6" s="1024">
        <v>30000</v>
      </c>
      <c r="N6" s="1024">
        <v>15000</v>
      </c>
      <c r="O6" s="420">
        <f t="shared" si="0"/>
        <v>1028000</v>
      </c>
      <c r="P6" s="421">
        <f t="shared" ref="P6:P14" si="1">B6-O6</f>
        <v>0</v>
      </c>
    </row>
    <row r="7" spans="1:16" s="418" customFormat="1" ht="30" customHeight="1">
      <c r="A7" s="419" t="s">
        <v>12</v>
      </c>
      <c r="B7" s="1024">
        <f>'2'!B7</f>
        <v>426949</v>
      </c>
      <c r="C7" s="1024">
        <v>36000</v>
      </c>
      <c r="D7" s="1024">
        <v>36000</v>
      </c>
      <c r="E7" s="1024">
        <v>36000</v>
      </c>
      <c r="F7" s="1024">
        <v>36000</v>
      </c>
      <c r="G7" s="1024">
        <v>35000</v>
      </c>
      <c r="H7" s="1024">
        <v>35000</v>
      </c>
      <c r="I7" s="1024">
        <v>35000</v>
      </c>
      <c r="J7" s="1024">
        <v>35000</v>
      </c>
      <c r="K7" s="1024">
        <v>35000</v>
      </c>
      <c r="L7" s="1024">
        <v>35000</v>
      </c>
      <c r="M7" s="1024">
        <v>35000</v>
      </c>
      <c r="N7" s="1024">
        <f>35000+3418-469</f>
        <v>37949</v>
      </c>
      <c r="O7" s="420">
        <f t="shared" si="0"/>
        <v>426949</v>
      </c>
      <c r="P7" s="421">
        <f t="shared" si="1"/>
        <v>0</v>
      </c>
    </row>
    <row r="8" spans="1:16" s="418" customFormat="1" ht="30" customHeight="1">
      <c r="A8" s="419" t="s">
        <v>206</v>
      </c>
      <c r="B8" s="1024">
        <f>'2'!B8</f>
        <v>220</v>
      </c>
      <c r="C8" s="1024">
        <v>0</v>
      </c>
      <c r="D8" s="1024">
        <v>0</v>
      </c>
      <c r="E8" s="1024">
        <v>0</v>
      </c>
      <c r="F8" s="1024">
        <v>0</v>
      </c>
      <c r="G8" s="1024">
        <v>0</v>
      </c>
      <c r="H8" s="1024">
        <v>100</v>
      </c>
      <c r="I8" s="1024">
        <v>100</v>
      </c>
      <c r="J8" s="1024">
        <v>20</v>
      </c>
      <c r="K8" s="1024">
        <v>0</v>
      </c>
      <c r="L8" s="1024">
        <v>0</v>
      </c>
      <c r="M8" s="1024">
        <v>0</v>
      </c>
      <c r="N8" s="1024">
        <v>0</v>
      </c>
      <c r="O8" s="420">
        <f t="shared" si="0"/>
        <v>220</v>
      </c>
      <c r="P8" s="421">
        <f t="shared" si="1"/>
        <v>0</v>
      </c>
    </row>
    <row r="9" spans="1:16" s="418" customFormat="1" ht="30" customHeight="1">
      <c r="A9" s="419" t="s">
        <v>195</v>
      </c>
      <c r="B9" s="1024">
        <f>'2'!B11</f>
        <v>497114</v>
      </c>
      <c r="C9" s="1024">
        <v>0</v>
      </c>
      <c r="D9" s="1024">
        <v>0</v>
      </c>
      <c r="E9" s="1024">
        <v>200000</v>
      </c>
      <c r="F9" s="1024">
        <v>287114</v>
      </c>
      <c r="G9" s="1024">
        <v>0</v>
      </c>
      <c r="H9" s="1024">
        <v>0</v>
      </c>
      <c r="I9" s="1024">
        <v>0</v>
      </c>
      <c r="J9" s="1024">
        <v>10000</v>
      </c>
      <c r="K9" s="1024">
        <v>0</v>
      </c>
      <c r="L9" s="1024">
        <v>0</v>
      </c>
      <c r="M9" s="1024">
        <v>0</v>
      </c>
      <c r="N9" s="1024">
        <v>0</v>
      </c>
      <c r="O9" s="420">
        <f t="shared" si="0"/>
        <v>497114</v>
      </c>
      <c r="P9" s="421">
        <f t="shared" si="1"/>
        <v>0</v>
      </c>
    </row>
    <row r="10" spans="1:16" s="418" customFormat="1" ht="30" customHeight="1">
      <c r="A10" s="419" t="s">
        <v>205</v>
      </c>
      <c r="B10" s="1024">
        <f>'2'!B12</f>
        <v>10000</v>
      </c>
      <c r="C10" s="1024">
        <v>0</v>
      </c>
      <c r="D10" s="1024">
        <v>0</v>
      </c>
      <c r="E10" s="1024">
        <v>5000</v>
      </c>
      <c r="F10" s="1024">
        <v>5000</v>
      </c>
      <c r="G10" s="1024">
        <v>0</v>
      </c>
      <c r="H10" s="1024">
        <v>0</v>
      </c>
      <c r="I10" s="1024">
        <v>0</v>
      </c>
      <c r="J10" s="1024">
        <v>0</v>
      </c>
      <c r="K10" s="1024">
        <v>0</v>
      </c>
      <c r="L10" s="1024">
        <v>0</v>
      </c>
      <c r="M10" s="1024">
        <v>0</v>
      </c>
      <c r="N10" s="1024">
        <v>0</v>
      </c>
      <c r="O10" s="420">
        <f t="shared" si="0"/>
        <v>10000</v>
      </c>
      <c r="P10" s="421">
        <f t="shared" si="1"/>
        <v>0</v>
      </c>
    </row>
    <row r="11" spans="1:16" s="418" customFormat="1" ht="30" customHeight="1">
      <c r="A11" s="419" t="s">
        <v>207</v>
      </c>
      <c r="B11" s="1024">
        <f>'2'!B13</f>
        <v>5300</v>
      </c>
      <c r="C11" s="1024">
        <v>15</v>
      </c>
      <c r="D11" s="1024">
        <v>2000</v>
      </c>
      <c r="E11" s="1024">
        <v>2000</v>
      </c>
      <c r="F11" s="1024">
        <v>1000</v>
      </c>
      <c r="G11" s="1024">
        <v>195</v>
      </c>
      <c r="H11" s="1024">
        <v>15</v>
      </c>
      <c r="I11" s="1024">
        <v>15</v>
      </c>
      <c r="J11" s="1024">
        <v>15</v>
      </c>
      <c r="K11" s="1024">
        <v>15</v>
      </c>
      <c r="L11" s="1024">
        <v>10</v>
      </c>
      <c r="M11" s="1024">
        <v>10</v>
      </c>
      <c r="N11" s="1024">
        <v>10</v>
      </c>
      <c r="O11" s="420">
        <f t="shared" si="0"/>
        <v>5300</v>
      </c>
      <c r="P11" s="421">
        <f t="shared" si="1"/>
        <v>0</v>
      </c>
    </row>
    <row r="12" spans="1:16" s="418" customFormat="1" ht="30" customHeight="1">
      <c r="A12" s="423" t="s">
        <v>427</v>
      </c>
      <c r="B12" s="1024">
        <f>'2'!B15</f>
        <v>869721</v>
      </c>
      <c r="C12" s="1024">
        <v>0</v>
      </c>
      <c r="D12" s="1024">
        <v>0</v>
      </c>
      <c r="E12" s="1024">
        <f>888985-19264</f>
        <v>869721</v>
      </c>
      <c r="F12" s="1024">
        <v>0</v>
      </c>
      <c r="G12" s="1024">
        <v>0</v>
      </c>
      <c r="H12" s="1024">
        <v>0</v>
      </c>
      <c r="I12" s="1024">
        <v>0</v>
      </c>
      <c r="J12" s="1024">
        <v>0</v>
      </c>
      <c r="K12" s="1024">
        <v>0</v>
      </c>
      <c r="L12" s="1024">
        <v>0</v>
      </c>
      <c r="M12" s="1024">
        <v>0</v>
      </c>
      <c r="N12" s="1024">
        <v>0</v>
      </c>
      <c r="O12" s="420">
        <f t="shared" si="0"/>
        <v>869721</v>
      </c>
      <c r="P12" s="421">
        <f t="shared" si="1"/>
        <v>0</v>
      </c>
    </row>
    <row r="13" spans="1:16" s="418" customFormat="1" ht="30" customHeight="1">
      <c r="A13" s="424" t="s">
        <v>289</v>
      </c>
      <c r="B13" s="1024">
        <f>'2'!B19</f>
        <v>0</v>
      </c>
      <c r="C13" s="1024">
        <v>0</v>
      </c>
      <c r="D13" s="1024">
        <v>0</v>
      </c>
      <c r="E13" s="1024">
        <v>0</v>
      </c>
      <c r="F13" s="1024">
        <v>0</v>
      </c>
      <c r="G13" s="1024">
        <v>0</v>
      </c>
      <c r="H13" s="1024">
        <v>0</v>
      </c>
      <c r="I13" s="1024">
        <v>0</v>
      </c>
      <c r="J13" s="1024">
        <v>0</v>
      </c>
      <c r="K13" s="1024">
        <v>0</v>
      </c>
      <c r="L13" s="1024">
        <v>0</v>
      </c>
      <c r="M13" s="1024">
        <v>0</v>
      </c>
      <c r="N13" s="1024">
        <v>0</v>
      </c>
      <c r="O13" s="422">
        <f t="shared" si="0"/>
        <v>0</v>
      </c>
      <c r="P13" s="421">
        <f t="shared" si="1"/>
        <v>0</v>
      </c>
    </row>
    <row r="14" spans="1:16" s="418" customFormat="1" ht="30" customHeight="1" thickBot="1">
      <c r="A14" s="423" t="s">
        <v>97</v>
      </c>
      <c r="B14" s="1024">
        <f>'2'!B20</f>
        <v>0</v>
      </c>
      <c r="C14" s="1024">
        <v>0</v>
      </c>
      <c r="D14" s="1024">
        <v>0</v>
      </c>
      <c r="E14" s="1024">
        <v>0</v>
      </c>
      <c r="F14" s="1024">
        <v>0</v>
      </c>
      <c r="G14" s="1024">
        <v>0</v>
      </c>
      <c r="H14" s="1024">
        <v>0</v>
      </c>
      <c r="I14" s="1024">
        <v>0</v>
      </c>
      <c r="J14" s="1024">
        <v>0</v>
      </c>
      <c r="K14" s="1024">
        <v>0</v>
      </c>
      <c r="L14" s="1024">
        <v>0</v>
      </c>
      <c r="M14" s="1024">
        <v>0</v>
      </c>
      <c r="N14" s="1024">
        <v>0</v>
      </c>
      <c r="O14" s="425">
        <f t="shared" si="0"/>
        <v>0</v>
      </c>
      <c r="P14" s="421">
        <f t="shared" si="1"/>
        <v>0</v>
      </c>
    </row>
    <row r="15" spans="1:16" s="418" customFormat="1" ht="30" customHeight="1" thickBot="1">
      <c r="A15" s="277" t="s">
        <v>395</v>
      </c>
      <c r="B15" s="727">
        <f t="shared" ref="B15:O15" si="2">SUM(B5:B14)</f>
        <v>4099246</v>
      </c>
      <c r="C15" s="727">
        <f t="shared" si="2"/>
        <v>157177</v>
      </c>
      <c r="D15" s="727">
        <f t="shared" si="2"/>
        <v>163162</v>
      </c>
      <c r="E15" s="727">
        <f t="shared" si="2"/>
        <v>1567883</v>
      </c>
      <c r="F15" s="727">
        <f t="shared" si="2"/>
        <v>454276</v>
      </c>
      <c r="G15" s="727">
        <f t="shared" si="2"/>
        <v>230357</v>
      </c>
      <c r="H15" s="727">
        <f t="shared" si="2"/>
        <v>160277</v>
      </c>
      <c r="I15" s="727">
        <f t="shared" si="2"/>
        <v>160277</v>
      </c>
      <c r="J15" s="727">
        <f t="shared" si="2"/>
        <v>170197</v>
      </c>
      <c r="K15" s="727">
        <f t="shared" si="2"/>
        <v>537177</v>
      </c>
      <c r="L15" s="727">
        <f t="shared" si="2"/>
        <v>170172</v>
      </c>
      <c r="M15" s="727">
        <f t="shared" si="2"/>
        <v>170171</v>
      </c>
      <c r="N15" s="727">
        <f t="shared" si="2"/>
        <v>158120</v>
      </c>
      <c r="O15" s="844">
        <f t="shared" si="2"/>
        <v>4099246</v>
      </c>
    </row>
    <row r="16" spans="1:16" s="418" customFormat="1" ht="30" customHeight="1">
      <c r="A16" s="1392" t="s">
        <v>396</v>
      </c>
      <c r="B16" s="1393"/>
      <c r="C16" s="1393"/>
      <c r="D16" s="1393"/>
      <c r="E16" s="1393"/>
      <c r="F16" s="1393"/>
      <c r="G16" s="1393"/>
      <c r="H16" s="1393"/>
      <c r="I16" s="1393"/>
      <c r="J16" s="1393"/>
      <c r="K16" s="1393"/>
      <c r="L16" s="1393"/>
      <c r="M16" s="1393"/>
      <c r="N16" s="1393"/>
      <c r="O16" s="1394"/>
    </row>
    <row r="17" spans="1:16" s="418" customFormat="1" ht="30" customHeight="1">
      <c r="A17" s="426" t="s">
        <v>6</v>
      </c>
      <c r="B17" s="843">
        <f>'2'!B28</f>
        <v>1032205.2</v>
      </c>
      <c r="C17" s="843">
        <v>86017</v>
      </c>
      <c r="D17" s="843">
        <v>86017</v>
      </c>
      <c r="E17" s="843">
        <v>86017</v>
      </c>
      <c r="F17" s="843">
        <v>86017</v>
      </c>
      <c r="G17" s="843">
        <v>86017</v>
      </c>
      <c r="H17" s="843">
        <v>86017</v>
      </c>
      <c r="I17" s="843">
        <v>86017</v>
      </c>
      <c r="J17" s="843">
        <v>86017</v>
      </c>
      <c r="K17" s="843">
        <v>86017</v>
      </c>
      <c r="L17" s="843">
        <v>86017</v>
      </c>
      <c r="M17" s="843">
        <v>86017</v>
      </c>
      <c r="N17" s="843">
        <v>86018</v>
      </c>
      <c r="O17" s="843">
        <f>SUM(C17:N17)</f>
        <v>1032205</v>
      </c>
      <c r="P17" s="421">
        <f t="shared" ref="P17:P19" si="3">B17-O17</f>
        <v>0.19999999995343387</v>
      </c>
    </row>
    <row r="18" spans="1:16" s="418" customFormat="1" ht="30" customHeight="1">
      <c r="A18" s="426" t="s">
        <v>162</v>
      </c>
      <c r="B18" s="843">
        <f>'2'!B29</f>
        <v>208894.8</v>
      </c>
      <c r="C18" s="843">
        <v>17408</v>
      </c>
      <c r="D18" s="843">
        <v>17408</v>
      </c>
      <c r="E18" s="843">
        <v>17408</v>
      </c>
      <c r="F18" s="843">
        <v>17408</v>
      </c>
      <c r="G18" s="843">
        <v>17408</v>
      </c>
      <c r="H18" s="843">
        <v>17408</v>
      </c>
      <c r="I18" s="843">
        <v>17408</v>
      </c>
      <c r="J18" s="843">
        <v>17408</v>
      </c>
      <c r="K18" s="843">
        <v>17408</v>
      </c>
      <c r="L18" s="843">
        <v>17408</v>
      </c>
      <c r="M18" s="843">
        <v>17408</v>
      </c>
      <c r="N18" s="843">
        <v>17407</v>
      </c>
      <c r="O18" s="843">
        <f t="shared" ref="O18:O24" si="4">SUM(C18:N18)</f>
        <v>208895</v>
      </c>
      <c r="P18" s="421">
        <f t="shared" si="3"/>
        <v>-0.20000000001164153</v>
      </c>
    </row>
    <row r="19" spans="1:16" s="418" customFormat="1" ht="30" customHeight="1">
      <c r="A19" s="426" t="s">
        <v>78</v>
      </c>
      <c r="B19" s="843">
        <f>'2'!B30</f>
        <v>925789</v>
      </c>
      <c r="C19" s="843">
        <f>76108+2083</f>
        <v>78191</v>
      </c>
      <c r="D19" s="843">
        <f t="shared" ref="D19:F19" si="5">76108+2083</f>
        <v>78191</v>
      </c>
      <c r="E19" s="843">
        <f t="shared" si="5"/>
        <v>78191</v>
      </c>
      <c r="F19" s="843">
        <f t="shared" si="5"/>
        <v>78191</v>
      </c>
      <c r="G19" s="843">
        <f>76108+2083+2</f>
        <v>78193</v>
      </c>
      <c r="H19" s="843">
        <f>76108+2083-3</f>
        <v>78188</v>
      </c>
      <c r="I19" s="843">
        <v>76108</v>
      </c>
      <c r="J19" s="843">
        <v>76108</v>
      </c>
      <c r="K19" s="843">
        <v>76108</v>
      </c>
      <c r="L19" s="843">
        <v>76108</v>
      </c>
      <c r="M19" s="843">
        <v>76108</v>
      </c>
      <c r="N19" s="843">
        <v>76104</v>
      </c>
      <c r="O19" s="843">
        <f t="shared" si="4"/>
        <v>925789</v>
      </c>
      <c r="P19" s="421">
        <f t="shared" si="3"/>
        <v>0</v>
      </c>
    </row>
    <row r="20" spans="1:16" s="418" customFormat="1" ht="30" customHeight="1">
      <c r="A20" s="426" t="s">
        <v>7</v>
      </c>
      <c r="B20" s="843">
        <f>'2'!B31</f>
        <v>38700</v>
      </c>
      <c r="C20" s="843">
        <v>3000</v>
      </c>
      <c r="D20" s="843">
        <v>3000</v>
      </c>
      <c r="E20" s="843">
        <v>3000</v>
      </c>
      <c r="F20" s="843">
        <v>3000</v>
      </c>
      <c r="G20" s="843">
        <v>3000</v>
      </c>
      <c r="H20" s="843">
        <v>3000</v>
      </c>
      <c r="I20" s="843">
        <v>3000</v>
      </c>
      <c r="J20" s="843">
        <v>4000</v>
      </c>
      <c r="K20" s="843">
        <v>4700</v>
      </c>
      <c r="L20" s="843">
        <v>3000</v>
      </c>
      <c r="M20" s="843">
        <v>3000</v>
      </c>
      <c r="N20" s="843">
        <v>3000</v>
      </c>
      <c r="O20" s="843">
        <f t="shared" si="4"/>
        <v>38700</v>
      </c>
      <c r="P20" s="421">
        <f>B20-O20</f>
        <v>0</v>
      </c>
    </row>
    <row r="21" spans="1:16" s="418" customFormat="1" ht="30" customHeight="1">
      <c r="A21" s="426" t="s">
        <v>189</v>
      </c>
      <c r="B21" s="843">
        <f>'2'!B32</f>
        <v>882677</v>
      </c>
      <c r="C21" s="843">
        <v>0</v>
      </c>
      <c r="D21" s="843">
        <v>0</v>
      </c>
      <c r="E21" s="843">
        <v>80000</v>
      </c>
      <c r="F21" s="843">
        <v>40000</v>
      </c>
      <c r="G21" s="843">
        <v>77555</v>
      </c>
      <c r="H21" s="843">
        <v>100000</v>
      </c>
      <c r="I21" s="843">
        <v>100000</v>
      </c>
      <c r="J21" s="843">
        <v>80000</v>
      </c>
      <c r="K21" s="843">
        <v>110000</v>
      </c>
      <c r="L21" s="843">
        <v>120000</v>
      </c>
      <c r="M21" s="843">
        <v>100000</v>
      </c>
      <c r="N21" s="843">
        <f>70810+4312</f>
        <v>75122</v>
      </c>
      <c r="O21" s="843">
        <f t="shared" si="4"/>
        <v>882677</v>
      </c>
      <c r="P21" s="421">
        <f>B21-O21</f>
        <v>0</v>
      </c>
    </row>
    <row r="22" spans="1:16" s="418" customFormat="1" ht="30" customHeight="1">
      <c r="A22" s="426" t="s">
        <v>191</v>
      </c>
      <c r="B22" s="843">
        <f>'2'!B34</f>
        <v>669749</v>
      </c>
      <c r="C22" s="843">
        <v>19843</v>
      </c>
      <c r="D22" s="843">
        <v>21000</v>
      </c>
      <c r="E22" s="843">
        <v>30000</v>
      </c>
      <c r="F22" s="843">
        <v>180000</v>
      </c>
      <c r="G22" s="843">
        <v>250000</v>
      </c>
      <c r="H22" s="843">
        <v>100000</v>
      </c>
      <c r="I22" s="843">
        <v>60000</v>
      </c>
      <c r="J22" s="843">
        <v>8906</v>
      </c>
      <c r="K22" s="843">
        <v>0</v>
      </c>
      <c r="L22" s="843">
        <v>0</v>
      </c>
      <c r="M22" s="843">
        <v>0</v>
      </c>
      <c r="N22" s="843">
        <v>0</v>
      </c>
      <c r="O22" s="843">
        <f t="shared" si="4"/>
        <v>669749</v>
      </c>
      <c r="P22" s="421">
        <f>B22-O22</f>
        <v>0</v>
      </c>
    </row>
    <row r="23" spans="1:16" s="418" customFormat="1" ht="30" customHeight="1">
      <c r="A23" s="426" t="s">
        <v>16</v>
      </c>
      <c r="B23" s="843">
        <f>'2'!B35</f>
        <v>140824</v>
      </c>
      <c r="C23" s="843">
        <v>0</v>
      </c>
      <c r="D23" s="843">
        <v>0</v>
      </c>
      <c r="E23" s="843">
        <v>0</v>
      </c>
      <c r="F23" s="843">
        <v>20000</v>
      </c>
      <c r="G23" s="843">
        <v>30000</v>
      </c>
      <c r="H23" s="843">
        <v>20000</v>
      </c>
      <c r="I23" s="843">
        <v>20000</v>
      </c>
      <c r="J23" s="843">
        <v>20000</v>
      </c>
      <c r="K23" s="843">
        <v>30000</v>
      </c>
      <c r="L23" s="843">
        <v>824</v>
      </c>
      <c r="M23" s="843">
        <v>0</v>
      </c>
      <c r="N23" s="843">
        <v>0</v>
      </c>
      <c r="O23" s="843">
        <f t="shared" si="4"/>
        <v>140824</v>
      </c>
      <c r="P23" s="421">
        <f>B23-O23</f>
        <v>0</v>
      </c>
    </row>
    <row r="24" spans="1:16" s="418" customFormat="1" ht="30" customHeight="1">
      <c r="A24" s="426" t="s">
        <v>192</v>
      </c>
      <c r="B24" s="843">
        <f>'2'!B36</f>
        <v>151789</v>
      </c>
      <c r="C24" s="843">
        <v>0</v>
      </c>
      <c r="D24" s="843">
        <v>80000</v>
      </c>
      <c r="E24" s="843">
        <v>60000</v>
      </c>
      <c r="F24" s="843">
        <v>3000</v>
      </c>
      <c r="G24" s="843">
        <v>3000</v>
      </c>
      <c r="H24" s="843">
        <v>1000</v>
      </c>
      <c r="I24" s="843">
        <v>1000</v>
      </c>
      <c r="J24" s="843">
        <v>1000</v>
      </c>
      <c r="K24" s="843">
        <v>1000</v>
      </c>
      <c r="L24" s="843">
        <v>1000</v>
      </c>
      <c r="M24" s="843">
        <v>789</v>
      </c>
      <c r="N24" s="843">
        <v>0</v>
      </c>
      <c r="O24" s="843">
        <f t="shared" si="4"/>
        <v>151789</v>
      </c>
      <c r="P24" s="421">
        <f>B24-O24</f>
        <v>0</v>
      </c>
    </row>
    <row r="25" spans="1:16" s="427" customFormat="1" ht="30" customHeight="1" thickBot="1">
      <c r="A25" s="426" t="s">
        <v>83</v>
      </c>
      <c r="B25" s="843">
        <f>'2'!B38</f>
        <v>48618</v>
      </c>
      <c r="C25" s="843">
        <v>0</v>
      </c>
      <c r="D25" s="843">
        <v>48618</v>
      </c>
      <c r="E25" s="843">
        <v>0</v>
      </c>
      <c r="F25" s="843">
        <v>0</v>
      </c>
      <c r="G25" s="843">
        <v>0</v>
      </c>
      <c r="H25" s="843">
        <v>0</v>
      </c>
      <c r="I25" s="843">
        <v>0</v>
      </c>
      <c r="J25" s="843">
        <v>0</v>
      </c>
      <c r="K25" s="843">
        <v>0</v>
      </c>
      <c r="L25" s="843">
        <v>0</v>
      </c>
      <c r="M25" s="843">
        <v>0</v>
      </c>
      <c r="N25" s="843">
        <v>0</v>
      </c>
      <c r="O25" s="843">
        <f>SUM(C25:N25)</f>
        <v>48618</v>
      </c>
    </row>
    <row r="26" spans="1:16" s="418" customFormat="1" ht="30" customHeight="1" thickBot="1">
      <c r="A26" s="277" t="s">
        <v>395</v>
      </c>
      <c r="B26" s="727">
        <f>SUM(B17:B25)</f>
        <v>4099246</v>
      </c>
      <c r="C26" s="727">
        <f>SUM(C17:C25)</f>
        <v>204459</v>
      </c>
      <c r="D26" s="727">
        <f t="shared" ref="D26:N26" si="6">SUM(D17:D25)</f>
        <v>334234</v>
      </c>
      <c r="E26" s="727">
        <f t="shared" si="6"/>
        <v>354616</v>
      </c>
      <c r="F26" s="727">
        <f t="shared" si="6"/>
        <v>427616</v>
      </c>
      <c r="G26" s="727">
        <f t="shared" si="6"/>
        <v>545173</v>
      </c>
      <c r="H26" s="727">
        <f t="shared" si="6"/>
        <v>405613</v>
      </c>
      <c r="I26" s="727">
        <f t="shared" si="6"/>
        <v>363533</v>
      </c>
      <c r="J26" s="727">
        <f t="shared" si="6"/>
        <v>293439</v>
      </c>
      <c r="K26" s="727">
        <f t="shared" si="6"/>
        <v>325233</v>
      </c>
      <c r="L26" s="727">
        <f t="shared" si="6"/>
        <v>304357</v>
      </c>
      <c r="M26" s="727">
        <f t="shared" si="6"/>
        <v>283322</v>
      </c>
      <c r="N26" s="727">
        <f t="shared" si="6"/>
        <v>257651</v>
      </c>
      <c r="O26" s="844">
        <f t="shared" ref="O26" si="7">SUM(C26:N26)</f>
        <v>4099246</v>
      </c>
    </row>
    <row r="27" spans="1:16" s="418" customFormat="1" ht="30" customHeight="1" thickBot="1">
      <c r="A27" s="842" t="s">
        <v>397</v>
      </c>
      <c r="B27" s="428">
        <v>0</v>
      </c>
      <c r="C27" s="1026">
        <f>C15-C26</f>
        <v>-47282</v>
      </c>
      <c r="D27" s="1026">
        <f t="shared" ref="D27:N27" si="8">C27+D15-D26</f>
        <v>-218354</v>
      </c>
      <c r="E27" s="1026">
        <f t="shared" si="8"/>
        <v>994913</v>
      </c>
      <c r="F27" s="1026">
        <f t="shared" si="8"/>
        <v>1021573</v>
      </c>
      <c r="G27" s="1026">
        <f t="shared" si="8"/>
        <v>706757</v>
      </c>
      <c r="H27" s="1026">
        <f t="shared" si="8"/>
        <v>461421</v>
      </c>
      <c r="I27" s="1026">
        <f t="shared" si="8"/>
        <v>258165</v>
      </c>
      <c r="J27" s="1026">
        <f t="shared" si="8"/>
        <v>134923</v>
      </c>
      <c r="K27" s="1026">
        <f t="shared" si="8"/>
        <v>346867</v>
      </c>
      <c r="L27" s="1026">
        <f t="shared" si="8"/>
        <v>212682</v>
      </c>
      <c r="M27" s="1026">
        <f t="shared" si="8"/>
        <v>99531</v>
      </c>
      <c r="N27" s="428">
        <f t="shared" si="8"/>
        <v>0</v>
      </c>
      <c r="O27" s="429">
        <v>0</v>
      </c>
    </row>
    <row r="28" spans="1:16">
      <c r="A28" s="413" t="s">
        <v>55</v>
      </c>
      <c r="O28" s="430" t="s">
        <v>55</v>
      </c>
    </row>
    <row r="29" spans="1:16">
      <c r="B29" s="430">
        <f>B26-B15</f>
        <v>0</v>
      </c>
    </row>
  </sheetData>
  <mergeCells count="3">
    <mergeCell ref="A1:O1"/>
    <mergeCell ref="A4:O4"/>
    <mergeCell ref="A16:O16"/>
  </mergeCells>
  <pageMargins left="0.59055118110236227" right="0.59055118110236227" top="0.74803149606299213" bottom="0.74803149606299213" header="0.31496062992125984" footer="0.31496062992125984"/>
  <pageSetup paperSize="9" scale="55" orientation="landscape" r:id="rId1"/>
  <headerFooter>
    <oddHeader xml:space="preserve">&amp;L&amp;"Arial,Dőlt"1. számú tájékoztató tábla a  2/2020. (II.14.) önkormányzati rendeletéhez </oddHeader>
  </headerFooter>
  <colBreaks count="1" manualBreakCount="1">
    <brk id="1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H102"/>
  <sheetViews>
    <sheetView view="pageLayout" zoomScaleNormal="100" zoomScaleSheetLayoutView="100" workbookViewId="0">
      <selection activeCell="B3" sqref="B3"/>
    </sheetView>
  </sheetViews>
  <sheetFormatPr defaultColWidth="9.140625" defaultRowHeight="12.75"/>
  <cols>
    <col min="1" max="1" width="17.5703125" style="1004" customWidth="1"/>
    <col min="2" max="2" width="19" style="1004" customWidth="1"/>
    <col min="3" max="3" width="23.140625" style="1004" customWidth="1"/>
    <col min="4" max="5" width="17.5703125" style="1004" customWidth="1"/>
    <col min="6" max="6" width="27" style="1004" customWidth="1"/>
    <col min="7" max="7" width="19.85546875" style="1004" customWidth="1"/>
    <col min="8" max="8" width="16.28515625" style="1004" bestFit="1" customWidth="1"/>
    <col min="9" max="16384" width="9.140625" style="1004"/>
  </cols>
  <sheetData>
    <row r="1" spans="1:7" ht="19.5" thickBot="1">
      <c r="A1" s="1395" t="s">
        <v>506</v>
      </c>
      <c r="B1" s="1395"/>
      <c r="C1" s="1395"/>
      <c r="D1" s="1395"/>
      <c r="E1" s="1395"/>
      <c r="F1" s="1395"/>
      <c r="G1" s="1395"/>
    </row>
    <row r="2" spans="1:7" ht="60" customHeight="1" thickBot="1">
      <c r="A2" s="1005" t="s">
        <v>436</v>
      </c>
      <c r="B2" s="1006" t="s">
        <v>437</v>
      </c>
      <c r="C2" s="1006" t="s">
        <v>438</v>
      </c>
      <c r="D2" s="1006" t="s">
        <v>439</v>
      </c>
      <c r="E2" s="1006" t="s">
        <v>440</v>
      </c>
      <c r="F2" s="1006" t="s">
        <v>441</v>
      </c>
      <c r="G2" s="1007" t="s">
        <v>782</v>
      </c>
    </row>
    <row r="3" spans="1:7" s="1008" customFormat="1" ht="120">
      <c r="A3" s="947" t="s">
        <v>507</v>
      </c>
      <c r="B3" s="948" t="s">
        <v>442</v>
      </c>
      <c r="C3" s="948" t="s">
        <v>443</v>
      </c>
      <c r="D3" s="949">
        <v>40725</v>
      </c>
      <c r="E3" s="949" t="s">
        <v>444</v>
      </c>
      <c r="F3" s="950" t="s">
        <v>686</v>
      </c>
      <c r="G3" s="951">
        <f>2*(1119070+946302)*1.27*12</f>
        <v>62952538.560000002</v>
      </c>
    </row>
    <row r="4" spans="1:7" s="1008" customFormat="1" ht="31.5" customHeight="1">
      <c r="A4" s="1117" t="s">
        <v>945</v>
      </c>
      <c r="B4" s="1113" t="s">
        <v>442</v>
      </c>
      <c r="C4" s="1113" t="s">
        <v>939</v>
      </c>
      <c r="D4" s="1114">
        <v>43797</v>
      </c>
      <c r="E4" s="1114" t="s">
        <v>444</v>
      </c>
      <c r="F4" s="1115" t="s">
        <v>940</v>
      </c>
      <c r="G4" s="1116">
        <v>288036</v>
      </c>
    </row>
    <row r="5" spans="1:7" s="1008" customFormat="1" ht="45">
      <c r="A5" s="1117" t="s">
        <v>944</v>
      </c>
      <c r="B5" s="1113" t="s">
        <v>941</v>
      </c>
      <c r="C5" s="1113" t="s">
        <v>942</v>
      </c>
      <c r="D5" s="1114">
        <v>43266</v>
      </c>
      <c r="E5" s="1114">
        <v>45092</v>
      </c>
      <c r="F5" s="1115" t="s">
        <v>943</v>
      </c>
      <c r="G5" s="1116">
        <v>3500000</v>
      </c>
    </row>
    <row r="6" spans="1:7" ht="45">
      <c r="A6" s="1009" t="s">
        <v>784</v>
      </c>
      <c r="B6" s="1010" t="s">
        <v>445</v>
      </c>
      <c r="C6" s="1010" t="s">
        <v>446</v>
      </c>
      <c r="D6" s="1011">
        <v>37895</v>
      </c>
      <c r="E6" s="1011" t="s">
        <v>444</v>
      </c>
      <c r="F6" s="1013" t="s">
        <v>783</v>
      </c>
      <c r="G6" s="1012">
        <v>734400</v>
      </c>
    </row>
    <row r="7" spans="1:7" ht="30">
      <c r="A7" s="1009" t="s">
        <v>946</v>
      </c>
      <c r="B7" s="1010" t="s">
        <v>947</v>
      </c>
      <c r="C7" s="1010" t="s">
        <v>948</v>
      </c>
      <c r="D7" s="1011">
        <v>43549</v>
      </c>
      <c r="E7" s="1011">
        <v>44575</v>
      </c>
      <c r="F7" s="1013" t="s">
        <v>949</v>
      </c>
      <c r="G7" s="1012">
        <v>15240</v>
      </c>
    </row>
    <row r="8" spans="1:7" ht="45">
      <c r="A8" s="1009" t="s">
        <v>511</v>
      </c>
      <c r="B8" s="1010" t="s">
        <v>785</v>
      </c>
      <c r="C8" s="1010" t="s">
        <v>687</v>
      </c>
      <c r="D8" s="1011">
        <v>41456</v>
      </c>
      <c r="E8" s="1011" t="s">
        <v>444</v>
      </c>
      <c r="F8" s="1013" t="s">
        <v>452</v>
      </c>
      <c r="G8" s="1012">
        <f>1250540*12</f>
        <v>15006480</v>
      </c>
    </row>
    <row r="9" spans="1:7" ht="90">
      <c r="A9" s="1009" t="s">
        <v>508</v>
      </c>
      <c r="B9" s="1010" t="s">
        <v>447</v>
      </c>
      <c r="C9" s="1010" t="s">
        <v>448</v>
      </c>
      <c r="D9" s="1011">
        <v>40283</v>
      </c>
      <c r="E9" s="1011" t="s">
        <v>444</v>
      </c>
      <c r="F9" s="1013" t="s">
        <v>688</v>
      </c>
      <c r="G9" s="1012">
        <f>(392000+98000)*1.27</f>
        <v>622300</v>
      </c>
    </row>
    <row r="10" spans="1:7" ht="60">
      <c r="A10" s="1009" t="s">
        <v>509</v>
      </c>
      <c r="B10" s="1010" t="s">
        <v>447</v>
      </c>
      <c r="C10" s="1010" t="s">
        <v>449</v>
      </c>
      <c r="D10" s="1011">
        <v>39653</v>
      </c>
      <c r="E10" s="1011" t="s">
        <v>444</v>
      </c>
      <c r="F10" s="1013" t="s">
        <v>563</v>
      </c>
      <c r="G10" s="1012">
        <f>216000*1.27</f>
        <v>274320</v>
      </c>
    </row>
    <row r="11" spans="1:7" ht="60">
      <c r="A11" s="1009" t="s">
        <v>510</v>
      </c>
      <c r="B11" s="1010" t="s">
        <v>447</v>
      </c>
      <c r="C11" s="1010" t="s">
        <v>450</v>
      </c>
      <c r="D11" s="1011">
        <v>39653</v>
      </c>
      <c r="E11" s="1011" t="s">
        <v>444</v>
      </c>
      <c r="F11" s="1013" t="s">
        <v>451</v>
      </c>
      <c r="G11" s="1012">
        <f>337500*1.27</f>
        <v>428625</v>
      </c>
    </row>
    <row r="12" spans="1:7" ht="49.5" customHeight="1">
      <c r="A12" s="1009" t="s">
        <v>513</v>
      </c>
      <c r="B12" s="1010" t="s">
        <v>453</v>
      </c>
      <c r="C12" s="1010" t="s">
        <v>454</v>
      </c>
      <c r="D12" s="1011">
        <v>41666</v>
      </c>
      <c r="E12" s="1011" t="s">
        <v>444</v>
      </c>
      <c r="F12" s="1013" t="s">
        <v>455</v>
      </c>
      <c r="G12" s="1012">
        <v>63500</v>
      </c>
    </row>
    <row r="13" spans="1:7" ht="45">
      <c r="A13" s="1009" t="s">
        <v>564</v>
      </c>
      <c r="B13" s="1010" t="s">
        <v>785</v>
      </c>
      <c r="C13" s="1010" t="s">
        <v>566</v>
      </c>
      <c r="D13" s="1011">
        <v>39814</v>
      </c>
      <c r="E13" s="1011" t="s">
        <v>444</v>
      </c>
      <c r="F13" s="1013" t="s">
        <v>567</v>
      </c>
      <c r="G13" s="1012">
        <f>6562*12*1.27</f>
        <v>100004.88</v>
      </c>
    </row>
    <row r="14" spans="1:7" ht="30">
      <c r="A14" s="1009" t="s">
        <v>568</v>
      </c>
      <c r="B14" s="1010" t="s">
        <v>785</v>
      </c>
      <c r="C14" s="1010" t="s">
        <v>570</v>
      </c>
      <c r="D14" s="1011">
        <v>39814</v>
      </c>
      <c r="E14" s="1011" t="s">
        <v>444</v>
      </c>
      <c r="F14" s="1013" t="s">
        <v>569</v>
      </c>
      <c r="G14" s="1012">
        <f>4167*12*1.27</f>
        <v>63505.08</v>
      </c>
    </row>
    <row r="15" spans="1:7" ht="30">
      <c r="A15" s="1009" t="s">
        <v>571</v>
      </c>
      <c r="B15" s="1010" t="s">
        <v>785</v>
      </c>
      <c r="C15" s="1010" t="s">
        <v>573</v>
      </c>
      <c r="D15" s="1011">
        <v>39814</v>
      </c>
      <c r="E15" s="1011" t="s">
        <v>444</v>
      </c>
      <c r="F15" s="1013" t="s">
        <v>572</v>
      </c>
      <c r="G15" s="1012">
        <f>7083*12*1.27</f>
        <v>107944.92</v>
      </c>
    </row>
    <row r="16" spans="1:7" ht="43.5" customHeight="1">
      <c r="A16" s="1009" t="s">
        <v>574</v>
      </c>
      <c r="B16" s="1010" t="s">
        <v>785</v>
      </c>
      <c r="C16" s="1010" t="s">
        <v>575</v>
      </c>
      <c r="D16" s="1011">
        <v>39814</v>
      </c>
      <c r="E16" s="1011" t="s">
        <v>444</v>
      </c>
      <c r="F16" s="1013" t="s">
        <v>576</v>
      </c>
      <c r="G16" s="1012">
        <f>8750*12*1.27</f>
        <v>133350</v>
      </c>
    </row>
    <row r="17" spans="1:7" ht="30">
      <c r="A17" s="1009" t="s">
        <v>578</v>
      </c>
      <c r="B17" s="1010" t="s">
        <v>785</v>
      </c>
      <c r="C17" s="1010" t="s">
        <v>577</v>
      </c>
      <c r="D17" s="1011">
        <v>39814</v>
      </c>
      <c r="E17" s="1011" t="s">
        <v>444</v>
      </c>
      <c r="F17" s="1013" t="s">
        <v>580</v>
      </c>
      <c r="G17" s="1012">
        <f>73333*12*1.27</f>
        <v>1117594.92</v>
      </c>
    </row>
    <row r="18" spans="1:7" ht="30">
      <c r="A18" s="1009" t="s">
        <v>579</v>
      </c>
      <c r="B18" s="1010" t="s">
        <v>785</v>
      </c>
      <c r="C18" s="1010" t="s">
        <v>581</v>
      </c>
      <c r="D18" s="1011">
        <v>39814</v>
      </c>
      <c r="E18" s="1011" t="s">
        <v>444</v>
      </c>
      <c r="F18" s="1013" t="s">
        <v>582</v>
      </c>
      <c r="G18" s="1012">
        <f>150*12*1.27</f>
        <v>2286</v>
      </c>
    </row>
    <row r="19" spans="1:7" ht="30">
      <c r="A19" s="1009" t="s">
        <v>583</v>
      </c>
      <c r="B19" s="1010" t="s">
        <v>785</v>
      </c>
      <c r="C19" s="1010" t="s">
        <v>584</v>
      </c>
      <c r="D19" s="1011">
        <v>39814</v>
      </c>
      <c r="E19" s="1011" t="s">
        <v>444</v>
      </c>
      <c r="F19" s="1013" t="s">
        <v>585</v>
      </c>
      <c r="G19" s="1012">
        <f>75000*12*1.27</f>
        <v>1143000</v>
      </c>
    </row>
    <row r="20" spans="1:7" ht="30">
      <c r="A20" s="1009" t="s">
        <v>586</v>
      </c>
      <c r="B20" s="1010" t="s">
        <v>785</v>
      </c>
      <c r="C20" s="1010" t="s">
        <v>589</v>
      </c>
      <c r="D20" s="1011">
        <v>39814</v>
      </c>
      <c r="E20" s="1011" t="s">
        <v>444</v>
      </c>
      <c r="F20" s="1013" t="s">
        <v>590</v>
      </c>
      <c r="G20" s="1012">
        <f>317*12*1.27</f>
        <v>4831.08</v>
      </c>
    </row>
    <row r="21" spans="1:7" ht="30">
      <c r="A21" s="1009" t="s">
        <v>587</v>
      </c>
      <c r="B21" s="1010" t="s">
        <v>785</v>
      </c>
      <c r="C21" s="1010" t="s">
        <v>591</v>
      </c>
      <c r="D21" s="1011">
        <v>39814</v>
      </c>
      <c r="E21" s="1011" t="s">
        <v>444</v>
      </c>
      <c r="F21" s="1013" t="s">
        <v>592</v>
      </c>
      <c r="G21" s="1012">
        <f>34167*12*1.27</f>
        <v>520705.08</v>
      </c>
    </row>
    <row r="22" spans="1:7" ht="30">
      <c r="A22" s="1009" t="s">
        <v>588</v>
      </c>
      <c r="B22" s="1010" t="s">
        <v>785</v>
      </c>
      <c r="C22" s="1010" t="s">
        <v>593</v>
      </c>
      <c r="D22" s="1011">
        <v>40544</v>
      </c>
      <c r="E22" s="1011" t="s">
        <v>444</v>
      </c>
      <c r="F22" s="1013" t="s">
        <v>594</v>
      </c>
      <c r="G22" s="1012">
        <f>16666*12*1.27</f>
        <v>253989.84</v>
      </c>
    </row>
    <row r="23" spans="1:7" ht="30">
      <c r="A23" s="1009" t="s">
        <v>595</v>
      </c>
      <c r="B23" s="1010" t="s">
        <v>785</v>
      </c>
      <c r="C23" s="1010" t="s">
        <v>596</v>
      </c>
      <c r="D23" s="1011">
        <v>39814</v>
      </c>
      <c r="E23" s="1011" t="s">
        <v>444</v>
      </c>
      <c r="F23" s="1013" t="s">
        <v>597</v>
      </c>
      <c r="G23" s="1012">
        <f>125*12*1.27</f>
        <v>1905</v>
      </c>
    </row>
    <row r="24" spans="1:7" ht="45">
      <c r="A24" s="1009" t="s">
        <v>599</v>
      </c>
      <c r="B24" s="1010" t="s">
        <v>785</v>
      </c>
      <c r="C24" s="1010" t="s">
        <v>598</v>
      </c>
      <c r="D24" s="1011">
        <v>39814</v>
      </c>
      <c r="E24" s="1011" t="s">
        <v>444</v>
      </c>
      <c r="F24" s="1013" t="s">
        <v>597</v>
      </c>
      <c r="G24" s="1012">
        <f>125*12*1.27</f>
        <v>1905</v>
      </c>
    </row>
    <row r="25" spans="1:7" ht="45">
      <c r="A25" s="1009" t="s">
        <v>601</v>
      </c>
      <c r="B25" s="1010" t="s">
        <v>457</v>
      </c>
      <c r="C25" s="1010" t="s">
        <v>600</v>
      </c>
      <c r="D25" s="1011">
        <v>36526</v>
      </c>
      <c r="E25" s="1011" t="s">
        <v>444</v>
      </c>
      <c r="F25" s="1013" t="s">
        <v>602</v>
      </c>
      <c r="G25" s="1012">
        <f>90000*1.27</f>
        <v>114300</v>
      </c>
    </row>
    <row r="26" spans="1:7" ht="45">
      <c r="A26" s="1009" t="s">
        <v>603</v>
      </c>
      <c r="B26" s="1010" t="s">
        <v>457</v>
      </c>
      <c r="C26" s="1010" t="s">
        <v>604</v>
      </c>
      <c r="D26" s="1011">
        <v>36526</v>
      </c>
      <c r="E26" s="1011" t="s">
        <v>444</v>
      </c>
      <c r="F26" s="1013" t="s">
        <v>605</v>
      </c>
      <c r="G26" s="1012">
        <f>90000*1.27</f>
        <v>114300</v>
      </c>
    </row>
    <row r="27" spans="1:7" ht="45">
      <c r="A27" s="1009" t="s">
        <v>606</v>
      </c>
      <c r="B27" s="1010" t="s">
        <v>457</v>
      </c>
      <c r="C27" s="1010" t="s">
        <v>607</v>
      </c>
      <c r="D27" s="1011">
        <v>36526</v>
      </c>
      <c r="E27" s="1011" t="s">
        <v>444</v>
      </c>
      <c r="F27" s="1013" t="s">
        <v>608</v>
      </c>
      <c r="G27" s="1012">
        <f>42000*1.27</f>
        <v>53340</v>
      </c>
    </row>
    <row r="28" spans="1:7" ht="30">
      <c r="A28" s="1009" t="s">
        <v>609</v>
      </c>
      <c r="B28" s="1010" t="s">
        <v>565</v>
      </c>
      <c r="C28" s="1010" t="s">
        <v>610</v>
      </c>
      <c r="D28" s="1011">
        <v>39814</v>
      </c>
      <c r="E28" s="1011" t="s">
        <v>444</v>
      </c>
      <c r="F28" s="1013" t="s">
        <v>611</v>
      </c>
      <c r="G28" s="1012">
        <f>16000*1.27</f>
        <v>20320</v>
      </c>
    </row>
    <row r="29" spans="1:7" ht="30">
      <c r="A29" s="1009" t="s">
        <v>612</v>
      </c>
      <c r="B29" s="1010" t="s">
        <v>565</v>
      </c>
      <c r="C29" s="1010" t="s">
        <v>616</v>
      </c>
      <c r="D29" s="1011">
        <v>39814</v>
      </c>
      <c r="E29" s="1011" t="s">
        <v>444</v>
      </c>
      <c r="F29" s="1013" t="s">
        <v>613</v>
      </c>
      <c r="G29" s="1012">
        <f>17000*1.27</f>
        <v>21590</v>
      </c>
    </row>
    <row r="30" spans="1:7" ht="30">
      <c r="A30" s="1009" t="s">
        <v>614</v>
      </c>
      <c r="B30" s="1010" t="s">
        <v>565</v>
      </c>
      <c r="C30" s="1010" t="s">
        <v>615</v>
      </c>
      <c r="D30" s="1011">
        <v>39814</v>
      </c>
      <c r="E30" s="1011" t="s">
        <v>444</v>
      </c>
      <c r="F30" s="1013" t="s">
        <v>617</v>
      </c>
      <c r="G30" s="1012">
        <f>3000*1.27</f>
        <v>3810</v>
      </c>
    </row>
    <row r="31" spans="1:7" ht="49.5" customHeight="1">
      <c r="A31" s="1009" t="s">
        <v>512</v>
      </c>
      <c r="B31" s="1010" t="s">
        <v>457</v>
      </c>
      <c r="C31" s="1010" t="s">
        <v>458</v>
      </c>
      <c r="D31" s="1011">
        <v>39814</v>
      </c>
      <c r="E31" s="1011" t="s">
        <v>444</v>
      </c>
      <c r="F31" s="1013" t="s">
        <v>459</v>
      </c>
      <c r="G31" s="1012">
        <v>1748545</v>
      </c>
    </row>
    <row r="32" spans="1:7" ht="49.5" customHeight="1">
      <c r="A32" s="1009" t="s">
        <v>460</v>
      </c>
      <c r="B32" s="1010" t="s">
        <v>461</v>
      </c>
      <c r="C32" s="1010" t="s">
        <v>618</v>
      </c>
      <c r="D32" s="1011">
        <v>42009</v>
      </c>
      <c r="E32" s="1011" t="s">
        <v>444</v>
      </c>
      <c r="F32" s="1013" t="s">
        <v>619</v>
      </c>
      <c r="G32" s="1012">
        <f>9900*12*1.27</f>
        <v>150876</v>
      </c>
    </row>
    <row r="33" spans="1:8" ht="49.5" customHeight="1">
      <c r="A33" s="1009" t="s">
        <v>788</v>
      </c>
      <c r="B33" s="1010" t="s">
        <v>648</v>
      </c>
      <c r="C33" s="1010" t="s">
        <v>787</v>
      </c>
      <c r="D33" s="1011">
        <v>42024</v>
      </c>
      <c r="E33" s="1011" t="s">
        <v>444</v>
      </c>
      <c r="F33" s="1013" t="s">
        <v>789</v>
      </c>
      <c r="G33" s="1012">
        <v>44450000</v>
      </c>
    </row>
    <row r="34" spans="1:8" ht="49.5" customHeight="1">
      <c r="A34" s="1009" t="s">
        <v>462</v>
      </c>
      <c r="B34" s="1010" t="s">
        <v>453</v>
      </c>
      <c r="C34" s="1010" t="s">
        <v>463</v>
      </c>
      <c r="D34" s="1011">
        <v>42046</v>
      </c>
      <c r="E34" s="1011" t="s">
        <v>444</v>
      </c>
      <c r="F34" s="1013" t="s">
        <v>620</v>
      </c>
      <c r="G34" s="1012">
        <f>120000*1.27</f>
        <v>152400</v>
      </c>
    </row>
    <row r="35" spans="1:8" ht="60" customHeight="1">
      <c r="A35" s="1011" t="s">
        <v>464</v>
      </c>
      <c r="B35" s="1014" t="s">
        <v>457</v>
      </c>
      <c r="C35" s="1014" t="s">
        <v>465</v>
      </c>
      <c r="D35" s="1011">
        <v>42048</v>
      </c>
      <c r="E35" s="1011" t="s">
        <v>444</v>
      </c>
      <c r="F35" s="1188" t="s">
        <v>950</v>
      </c>
      <c r="G35" s="1187">
        <v>99060000</v>
      </c>
      <c r="H35" s="1015"/>
    </row>
    <row r="36" spans="1:8" ht="49.5" customHeight="1">
      <c r="A36" s="1009" t="s">
        <v>466</v>
      </c>
      <c r="B36" s="1010" t="s">
        <v>467</v>
      </c>
      <c r="C36" s="1010" t="s">
        <v>468</v>
      </c>
      <c r="D36" s="1011">
        <v>42023</v>
      </c>
      <c r="E36" s="1011" t="s">
        <v>444</v>
      </c>
      <c r="F36" s="1013" t="s">
        <v>786</v>
      </c>
      <c r="G36" s="1012">
        <f>2190*1.27</f>
        <v>2781.3</v>
      </c>
    </row>
    <row r="37" spans="1:8" ht="90">
      <c r="A37" s="1009" t="s">
        <v>958</v>
      </c>
      <c r="B37" s="1010" t="s">
        <v>957</v>
      </c>
      <c r="C37" s="1010" t="s">
        <v>959</v>
      </c>
      <c r="D37" s="1011">
        <v>43091</v>
      </c>
      <c r="E37" s="1011">
        <v>44196</v>
      </c>
      <c r="F37" s="1013" t="s">
        <v>962</v>
      </c>
      <c r="G37" s="1012">
        <v>2800000</v>
      </c>
    </row>
    <row r="38" spans="1:8" ht="90">
      <c r="A38" s="1009" t="s">
        <v>960</v>
      </c>
      <c r="B38" s="1010" t="s">
        <v>957</v>
      </c>
      <c r="C38" s="1010" t="s">
        <v>972</v>
      </c>
      <c r="D38" s="1011">
        <v>43091</v>
      </c>
      <c r="E38" s="1011">
        <v>44196</v>
      </c>
      <c r="F38" s="1013" t="s">
        <v>961</v>
      </c>
      <c r="G38" s="1012">
        <v>200000</v>
      </c>
    </row>
    <row r="39" spans="1:8" ht="49.5" customHeight="1">
      <c r="A39" s="1009" t="s">
        <v>469</v>
      </c>
      <c r="B39" s="1010" t="s">
        <v>470</v>
      </c>
      <c r="C39" s="1010" t="s">
        <v>471</v>
      </c>
      <c r="D39" s="1011">
        <v>42051</v>
      </c>
      <c r="E39" s="1011" t="s">
        <v>444</v>
      </c>
      <c r="F39" s="1013" t="s">
        <v>472</v>
      </c>
      <c r="G39" s="1012">
        <v>3302000</v>
      </c>
    </row>
    <row r="40" spans="1:8" ht="60">
      <c r="A40" s="1009" t="s">
        <v>473</v>
      </c>
      <c r="B40" s="1010" t="s">
        <v>447</v>
      </c>
      <c r="C40" s="1010" t="s">
        <v>474</v>
      </c>
      <c r="D40" s="1011">
        <v>42314</v>
      </c>
      <c r="E40" s="1011" t="s">
        <v>444</v>
      </c>
      <c r="F40" s="1013" t="s">
        <v>456</v>
      </c>
      <c r="G40" s="1012">
        <v>127000</v>
      </c>
    </row>
    <row r="41" spans="1:8" ht="49.5" customHeight="1">
      <c r="A41" s="1009" t="s">
        <v>475</v>
      </c>
      <c r="B41" s="1010" t="s">
        <v>476</v>
      </c>
      <c r="C41" s="1010" t="s">
        <v>477</v>
      </c>
      <c r="D41" s="1011">
        <v>42326</v>
      </c>
      <c r="E41" s="1011">
        <v>44196</v>
      </c>
      <c r="F41" s="1013" t="s">
        <v>478</v>
      </c>
      <c r="G41" s="1012">
        <v>889000</v>
      </c>
    </row>
    <row r="42" spans="1:8" ht="30">
      <c r="A42" s="1009" t="s">
        <v>536</v>
      </c>
      <c r="B42" s="1010" t="s">
        <v>537</v>
      </c>
      <c r="C42" s="1010" t="s">
        <v>538</v>
      </c>
      <c r="D42" s="1011">
        <v>42583</v>
      </c>
      <c r="E42" s="1011" t="s">
        <v>444</v>
      </c>
      <c r="F42" s="1013" t="s">
        <v>689</v>
      </c>
      <c r="G42" s="1012">
        <f>10942*1.27*12</f>
        <v>166756.08000000002</v>
      </c>
    </row>
    <row r="43" spans="1:8" s="1017" customFormat="1" ht="45" customHeight="1">
      <c r="A43" s="1009" t="s">
        <v>622</v>
      </c>
      <c r="B43" s="1010" t="s">
        <v>790</v>
      </c>
      <c r="C43" s="1010" t="s">
        <v>621</v>
      </c>
      <c r="D43" s="1011">
        <v>42736</v>
      </c>
      <c r="E43" s="1011" t="s">
        <v>444</v>
      </c>
      <c r="F43" s="1013" t="s">
        <v>623</v>
      </c>
      <c r="G43" s="1012">
        <f>14000*1.27</f>
        <v>17780</v>
      </c>
      <c r="H43" s="1016"/>
    </row>
    <row r="44" spans="1:8" s="1017" customFormat="1" ht="45" customHeight="1">
      <c r="A44" s="1009" t="s">
        <v>625</v>
      </c>
      <c r="B44" s="1010" t="s">
        <v>624</v>
      </c>
      <c r="C44" s="1010" t="s">
        <v>626</v>
      </c>
      <c r="D44" s="1011">
        <v>42887</v>
      </c>
      <c r="E44" s="1011" t="s">
        <v>444</v>
      </c>
      <c r="F44" s="1013" t="s">
        <v>627</v>
      </c>
      <c r="G44" s="1012">
        <f>4541*12</f>
        <v>54492</v>
      </c>
      <c r="H44" s="1016"/>
    </row>
    <row r="45" spans="1:8" s="1017" customFormat="1" ht="45" customHeight="1">
      <c r="A45" s="1009" t="s">
        <v>951</v>
      </c>
      <c r="B45" s="1010" t="s">
        <v>952</v>
      </c>
      <c r="C45" s="1010" t="s">
        <v>626</v>
      </c>
      <c r="D45" s="1011">
        <v>42887</v>
      </c>
      <c r="E45" s="1011" t="s">
        <v>444</v>
      </c>
      <c r="F45" s="1013" t="s">
        <v>953</v>
      </c>
      <c r="G45" s="1012">
        <v>450000</v>
      </c>
      <c r="H45" s="1016"/>
    </row>
    <row r="46" spans="1:8" s="1017" customFormat="1" ht="45" customHeight="1">
      <c r="A46" s="1009" t="s">
        <v>955</v>
      </c>
      <c r="B46" s="1010" t="s">
        <v>954</v>
      </c>
      <c r="C46" s="1010" t="s">
        <v>626</v>
      </c>
      <c r="D46" s="1011">
        <v>42887</v>
      </c>
      <c r="E46" s="1011" t="s">
        <v>444</v>
      </c>
      <c r="F46" s="1013" t="s">
        <v>956</v>
      </c>
      <c r="G46" s="1012">
        <v>400000</v>
      </c>
      <c r="H46" s="1016"/>
    </row>
    <row r="47" spans="1:8" s="1017" customFormat="1" ht="45" customHeight="1">
      <c r="A47" s="1009" t="s">
        <v>629</v>
      </c>
      <c r="B47" s="1010" t="s">
        <v>482</v>
      </c>
      <c r="C47" s="1010" t="s">
        <v>628</v>
      </c>
      <c r="D47" s="1011">
        <v>42867</v>
      </c>
      <c r="E47" s="1011" t="s">
        <v>444</v>
      </c>
      <c r="F47" s="1013" t="s">
        <v>630</v>
      </c>
      <c r="G47" s="1012">
        <f>8400*12*1.18</f>
        <v>118944</v>
      </c>
      <c r="H47" s="1016"/>
    </row>
    <row r="48" spans="1:8" s="1017" customFormat="1" ht="45" customHeight="1">
      <c r="A48" s="1009" t="s">
        <v>631</v>
      </c>
      <c r="B48" s="1010" t="s">
        <v>485</v>
      </c>
      <c r="C48" s="1010" t="s">
        <v>632</v>
      </c>
      <c r="D48" s="1011">
        <v>42736</v>
      </c>
      <c r="E48" s="1011" t="s">
        <v>444</v>
      </c>
      <c r="F48" s="1013" t="s">
        <v>791</v>
      </c>
      <c r="G48" s="1012">
        <v>5101616</v>
      </c>
      <c r="H48" s="1016"/>
    </row>
    <row r="49" spans="1:8" s="1017" customFormat="1" ht="45" customHeight="1">
      <c r="A49" s="1009" t="s">
        <v>634</v>
      </c>
      <c r="B49" s="1010" t="s">
        <v>633</v>
      </c>
      <c r="C49" s="1010" t="s">
        <v>635</v>
      </c>
      <c r="D49" s="1011">
        <v>43009</v>
      </c>
      <c r="E49" s="1011">
        <v>44104</v>
      </c>
      <c r="F49" s="1013" t="s">
        <v>792</v>
      </c>
      <c r="G49" s="1018">
        <v>16420000</v>
      </c>
      <c r="H49" s="1016"/>
    </row>
    <row r="50" spans="1:8" s="1017" customFormat="1" ht="45" customHeight="1">
      <c r="A50" s="1009" t="s">
        <v>637</v>
      </c>
      <c r="B50" s="1010" t="s">
        <v>457</v>
      </c>
      <c r="C50" s="1010" t="s">
        <v>636</v>
      </c>
      <c r="D50" s="1011">
        <v>42983</v>
      </c>
      <c r="E50" s="1011" t="s">
        <v>444</v>
      </c>
      <c r="F50" s="1013" t="s">
        <v>638</v>
      </c>
      <c r="G50" s="1012">
        <f>140000*1.27</f>
        <v>177800</v>
      </c>
      <c r="H50" s="1016"/>
    </row>
    <row r="51" spans="1:8" s="1017" customFormat="1" ht="45" customHeight="1">
      <c r="A51" s="1009" t="s">
        <v>640</v>
      </c>
      <c r="B51" s="1010" t="s">
        <v>457</v>
      </c>
      <c r="C51" s="1010" t="s">
        <v>639</v>
      </c>
      <c r="D51" s="1011">
        <v>42983</v>
      </c>
      <c r="E51" s="1011" t="s">
        <v>444</v>
      </c>
      <c r="F51" s="1013" t="s">
        <v>642</v>
      </c>
      <c r="G51" s="1012">
        <f>60000*1.27</f>
        <v>76200</v>
      </c>
      <c r="H51" s="1016"/>
    </row>
    <row r="52" spans="1:8" s="1017" customFormat="1" ht="45" customHeight="1">
      <c r="A52" s="1009" t="s">
        <v>641</v>
      </c>
      <c r="B52" s="1010" t="s">
        <v>457</v>
      </c>
      <c r="C52" s="1010" t="s">
        <v>643</v>
      </c>
      <c r="D52" s="1011">
        <v>42983</v>
      </c>
      <c r="E52" s="1011" t="s">
        <v>444</v>
      </c>
      <c r="F52" s="1013" t="s">
        <v>644</v>
      </c>
      <c r="G52" s="1012">
        <f>180000*1.27</f>
        <v>228600</v>
      </c>
      <c r="H52" s="1016"/>
    </row>
    <row r="53" spans="1:8" ht="30" customHeight="1">
      <c r="H53" s="1015"/>
    </row>
    <row r="54" spans="1:8" ht="24.75" customHeight="1">
      <c r="A54" s="1021"/>
      <c r="B54" s="1020"/>
      <c r="C54" s="1020"/>
      <c r="D54" s="1021"/>
      <c r="E54" s="1020"/>
      <c r="F54" s="1021"/>
      <c r="G54" s="1189"/>
    </row>
    <row r="55" spans="1:8" ht="19.5" thickBot="1">
      <c r="A55" s="1396" t="s">
        <v>514</v>
      </c>
      <c r="B55" s="1396"/>
      <c r="C55" s="1396"/>
      <c r="D55" s="1396"/>
      <c r="E55" s="1396"/>
      <c r="F55" s="1396"/>
      <c r="G55" s="1396"/>
    </row>
    <row r="56" spans="1:8" ht="57">
      <c r="A56" s="1190" t="s">
        <v>479</v>
      </c>
      <c r="B56" s="1191" t="s">
        <v>437</v>
      </c>
      <c r="C56" s="1192" t="s">
        <v>438</v>
      </c>
      <c r="D56" s="1192" t="s">
        <v>439</v>
      </c>
      <c r="E56" s="1192" t="s">
        <v>440</v>
      </c>
      <c r="F56" s="1192" t="s">
        <v>441</v>
      </c>
      <c r="G56" s="1193" t="s">
        <v>923</v>
      </c>
    </row>
    <row r="57" spans="1:8" ht="60">
      <c r="A57" s="1108" t="s">
        <v>793</v>
      </c>
      <c r="B57" s="1010" t="s">
        <v>834</v>
      </c>
      <c r="C57" s="1010" t="s">
        <v>855</v>
      </c>
      <c r="D57" s="1098">
        <v>38398</v>
      </c>
      <c r="E57" s="1101" t="s">
        <v>444</v>
      </c>
      <c r="F57" s="1101" t="s">
        <v>926</v>
      </c>
      <c r="G57" s="952">
        <v>219456</v>
      </c>
    </row>
    <row r="58" spans="1:8" ht="38.25">
      <c r="A58" s="1108" t="s">
        <v>794</v>
      </c>
      <c r="B58" s="1010" t="s">
        <v>835</v>
      </c>
      <c r="C58" s="1010" t="s">
        <v>856</v>
      </c>
      <c r="D58" s="1098">
        <v>42919</v>
      </c>
      <c r="E58" s="1101" t="s">
        <v>444</v>
      </c>
      <c r="F58" s="1103" t="s">
        <v>891</v>
      </c>
      <c r="G58" s="952">
        <v>261620</v>
      </c>
    </row>
    <row r="59" spans="1:8" ht="63.75">
      <c r="A59" s="1108" t="s">
        <v>795</v>
      </c>
      <c r="B59" s="1010" t="s">
        <v>457</v>
      </c>
      <c r="C59" s="1010" t="s">
        <v>857</v>
      </c>
      <c r="D59" s="1098">
        <v>38718</v>
      </c>
      <c r="E59" s="1101" t="s">
        <v>444</v>
      </c>
      <c r="F59" s="1103" t="s">
        <v>892</v>
      </c>
      <c r="G59" s="952">
        <v>600000</v>
      </c>
    </row>
    <row r="60" spans="1:8" ht="63.75">
      <c r="A60" s="1108" t="s">
        <v>796</v>
      </c>
      <c r="B60" s="1010" t="s">
        <v>457</v>
      </c>
      <c r="C60" s="1010" t="s">
        <v>858</v>
      </c>
      <c r="D60" s="1098">
        <v>38902</v>
      </c>
      <c r="E60" s="1101" t="s">
        <v>444</v>
      </c>
      <c r="F60" s="1103" t="s">
        <v>893</v>
      </c>
      <c r="G60" s="952">
        <v>645000</v>
      </c>
    </row>
    <row r="61" spans="1:8" ht="30">
      <c r="A61" s="1108" t="s">
        <v>797</v>
      </c>
      <c r="B61" s="1010" t="s">
        <v>645</v>
      </c>
      <c r="C61" s="1010" t="s">
        <v>859</v>
      </c>
      <c r="D61" s="1098">
        <v>42944</v>
      </c>
      <c r="E61" s="1101" t="s">
        <v>444</v>
      </c>
      <c r="F61" s="1101" t="s">
        <v>894</v>
      </c>
      <c r="G61" s="952">
        <v>144704</v>
      </c>
    </row>
    <row r="62" spans="1:8" ht="51">
      <c r="A62" s="1108" t="s">
        <v>798</v>
      </c>
      <c r="B62" s="1010" t="s">
        <v>836</v>
      </c>
      <c r="C62" s="1010" t="s">
        <v>860</v>
      </c>
      <c r="D62" s="1098">
        <v>43775</v>
      </c>
      <c r="E62" s="1101" t="s">
        <v>444</v>
      </c>
      <c r="F62" s="1103" t="s">
        <v>895</v>
      </c>
      <c r="G62" s="952">
        <v>1070610</v>
      </c>
    </row>
    <row r="63" spans="1:8" ht="45">
      <c r="A63" s="1108" t="s">
        <v>799</v>
      </c>
      <c r="B63" s="1010" t="s">
        <v>647</v>
      </c>
      <c r="C63" s="1010" t="s">
        <v>927</v>
      </c>
      <c r="D63" s="1098">
        <v>43719</v>
      </c>
      <c r="E63" s="1098">
        <v>44469</v>
      </c>
      <c r="F63" s="1103" t="s">
        <v>896</v>
      </c>
      <c r="G63" s="952">
        <v>3400000</v>
      </c>
    </row>
    <row r="64" spans="1:8" ht="60">
      <c r="A64" s="1108" t="s">
        <v>800</v>
      </c>
      <c r="B64" s="1010" t="s">
        <v>837</v>
      </c>
      <c r="C64" s="1010" t="s">
        <v>973</v>
      </c>
      <c r="D64" s="1098">
        <v>41345</v>
      </c>
      <c r="E64" s="1101" t="s">
        <v>444</v>
      </c>
      <c r="F64" s="1101" t="s">
        <v>897</v>
      </c>
      <c r="G64" s="952">
        <v>225666</v>
      </c>
    </row>
    <row r="65" spans="1:7" ht="45">
      <c r="A65" s="1108" t="s">
        <v>801</v>
      </c>
      <c r="B65" s="1010" t="s">
        <v>838</v>
      </c>
      <c r="C65" s="1010" t="s">
        <v>861</v>
      </c>
      <c r="D65" s="1098">
        <v>43537</v>
      </c>
      <c r="E65" s="1098">
        <v>43920</v>
      </c>
      <c r="F65" s="1101" t="s">
        <v>898</v>
      </c>
      <c r="G65" s="952">
        <v>388315</v>
      </c>
    </row>
    <row r="66" spans="1:7" ht="30">
      <c r="A66" s="1108" t="s">
        <v>802</v>
      </c>
      <c r="B66" s="1010" t="s">
        <v>467</v>
      </c>
      <c r="C66" s="1010" t="s">
        <v>862</v>
      </c>
      <c r="D66" s="1098">
        <v>40260</v>
      </c>
      <c r="E66" s="1101" t="s">
        <v>444</v>
      </c>
      <c r="F66" s="1101" t="s">
        <v>899</v>
      </c>
      <c r="G66" s="952">
        <v>16497</v>
      </c>
    </row>
    <row r="67" spans="1:7" ht="60">
      <c r="A67" s="1108" t="s">
        <v>803</v>
      </c>
      <c r="B67" s="1010" t="s">
        <v>839</v>
      </c>
      <c r="C67" s="1010" t="s">
        <v>863</v>
      </c>
      <c r="D67" s="1098">
        <v>42054</v>
      </c>
      <c r="E67" s="1098">
        <v>43916</v>
      </c>
      <c r="F67" s="1101" t="s">
        <v>900</v>
      </c>
      <c r="G67" s="952">
        <v>329169</v>
      </c>
    </row>
    <row r="68" spans="1:7" ht="45">
      <c r="A68" s="1108" t="s">
        <v>804</v>
      </c>
      <c r="B68" s="1010" t="s">
        <v>839</v>
      </c>
      <c r="C68" s="1010" t="s">
        <v>864</v>
      </c>
      <c r="D68" s="1098">
        <v>43495</v>
      </c>
      <c r="E68" s="1098">
        <v>43916</v>
      </c>
      <c r="F68" s="1101" t="s">
        <v>901</v>
      </c>
      <c r="G68" s="952">
        <v>1524000</v>
      </c>
    </row>
    <row r="69" spans="1:7" ht="30">
      <c r="A69" s="1108" t="s">
        <v>805</v>
      </c>
      <c r="B69" s="1010" t="s">
        <v>840</v>
      </c>
      <c r="C69" s="1010" t="s">
        <v>865</v>
      </c>
      <c r="D69" s="1098">
        <v>43831</v>
      </c>
      <c r="E69" s="1098">
        <v>44196</v>
      </c>
      <c r="F69" s="1101" t="s">
        <v>902</v>
      </c>
      <c r="G69" s="952">
        <v>5168900</v>
      </c>
    </row>
    <row r="70" spans="1:7" ht="30">
      <c r="A70" s="1108" t="s">
        <v>806</v>
      </c>
      <c r="B70" s="1010" t="s">
        <v>841</v>
      </c>
      <c r="C70" s="1010" t="s">
        <v>866</v>
      </c>
      <c r="D70" s="1098">
        <v>42417</v>
      </c>
      <c r="E70" s="1101" t="s">
        <v>444</v>
      </c>
      <c r="F70" s="1103" t="s">
        <v>928</v>
      </c>
      <c r="G70" s="952">
        <v>106680</v>
      </c>
    </row>
    <row r="71" spans="1:7" ht="30">
      <c r="A71" s="1108" t="s">
        <v>807</v>
      </c>
      <c r="B71" s="1010" t="s">
        <v>484</v>
      </c>
      <c r="C71" s="1010" t="s">
        <v>867</v>
      </c>
      <c r="D71" s="1098">
        <v>42339</v>
      </c>
      <c r="E71" s="1101" t="s">
        <v>444</v>
      </c>
      <c r="F71" s="1101" t="s">
        <v>903</v>
      </c>
      <c r="G71" s="952">
        <v>59436</v>
      </c>
    </row>
    <row r="72" spans="1:7" s="1022" customFormat="1" ht="30">
      <c r="A72" s="1108" t="s">
        <v>808</v>
      </c>
      <c r="B72" s="1010" t="s">
        <v>480</v>
      </c>
      <c r="C72" s="1010" t="s">
        <v>868</v>
      </c>
      <c r="D72" s="1098">
        <v>41834</v>
      </c>
      <c r="E72" s="1101" t="s">
        <v>444</v>
      </c>
      <c r="F72" s="1101" t="s">
        <v>904</v>
      </c>
      <c r="G72" s="952">
        <v>975360</v>
      </c>
    </row>
    <row r="73" spans="1:7" ht="30">
      <c r="A73" s="1108" t="s">
        <v>809</v>
      </c>
      <c r="B73" s="1010" t="s">
        <v>842</v>
      </c>
      <c r="C73" s="1010" t="s">
        <v>869</v>
      </c>
      <c r="D73" s="1098">
        <v>41640</v>
      </c>
      <c r="E73" s="1101" t="s">
        <v>444</v>
      </c>
      <c r="F73" s="1101" t="s">
        <v>905</v>
      </c>
      <c r="G73" s="952">
        <v>739200</v>
      </c>
    </row>
    <row r="74" spans="1:7" ht="30">
      <c r="A74" s="1108" t="s">
        <v>810</v>
      </c>
      <c r="B74" s="1010" t="s">
        <v>470</v>
      </c>
      <c r="C74" s="1010" t="s">
        <v>471</v>
      </c>
      <c r="D74" s="1098">
        <v>42051</v>
      </c>
      <c r="E74" s="1101" t="s">
        <v>444</v>
      </c>
      <c r="F74" s="1105" t="s">
        <v>924</v>
      </c>
      <c r="G74" s="952">
        <v>1295400</v>
      </c>
    </row>
    <row r="75" spans="1:7" ht="45">
      <c r="A75" s="1108" t="s">
        <v>811</v>
      </c>
      <c r="B75" s="1010" t="s">
        <v>843</v>
      </c>
      <c r="C75" s="1010" t="s">
        <v>870</v>
      </c>
      <c r="D75" s="1098">
        <v>43707</v>
      </c>
      <c r="E75" s="1105" t="s">
        <v>444</v>
      </c>
      <c r="F75" s="1101" t="s">
        <v>901</v>
      </c>
      <c r="G75" s="952">
        <v>1524000</v>
      </c>
    </row>
    <row r="76" spans="1:7" ht="75">
      <c r="A76" s="1108" t="s">
        <v>812</v>
      </c>
      <c r="B76" s="1010" t="s">
        <v>844</v>
      </c>
      <c r="C76" s="1010" t="s">
        <v>871</v>
      </c>
      <c r="D76" s="1098">
        <v>43795</v>
      </c>
      <c r="E76" s="1098">
        <v>44196</v>
      </c>
      <c r="F76" s="1101" t="s">
        <v>906</v>
      </c>
      <c r="G76" s="952">
        <v>755650</v>
      </c>
    </row>
    <row r="77" spans="1:7" ht="30">
      <c r="A77" s="1108" t="s">
        <v>813</v>
      </c>
      <c r="B77" s="1010" t="s">
        <v>485</v>
      </c>
      <c r="C77" s="1010" t="s">
        <v>872</v>
      </c>
      <c r="D77" s="1098">
        <v>39164</v>
      </c>
      <c r="E77" s="1101" t="s">
        <v>444</v>
      </c>
      <c r="F77" s="1101" t="s">
        <v>907</v>
      </c>
      <c r="G77" s="952">
        <v>6500000</v>
      </c>
    </row>
    <row r="78" spans="1:7" ht="30">
      <c r="A78" s="1108" t="s">
        <v>814</v>
      </c>
      <c r="B78" s="1010" t="s">
        <v>646</v>
      </c>
      <c r="C78" s="1010" t="s">
        <v>873</v>
      </c>
      <c r="D78" s="1098">
        <v>42866</v>
      </c>
      <c r="E78" s="1098">
        <v>43921</v>
      </c>
      <c r="F78" s="1101" t="s">
        <v>908</v>
      </c>
      <c r="G78" s="952">
        <v>215000</v>
      </c>
    </row>
    <row r="79" spans="1:7" ht="30">
      <c r="A79" s="1108" t="s">
        <v>815</v>
      </c>
      <c r="B79" s="1010" t="s">
        <v>646</v>
      </c>
      <c r="C79" s="1010" t="s">
        <v>874</v>
      </c>
      <c r="D79" s="1098">
        <v>42212</v>
      </c>
      <c r="E79" s="1101" t="s">
        <v>444</v>
      </c>
      <c r="F79" s="1101" t="s">
        <v>909</v>
      </c>
      <c r="G79" s="952">
        <v>220560</v>
      </c>
    </row>
    <row r="80" spans="1:7" ht="30">
      <c r="A80" s="1108" t="s">
        <v>816</v>
      </c>
      <c r="B80" s="1010" t="s">
        <v>540</v>
      </c>
      <c r="C80" s="1010" t="s">
        <v>974</v>
      </c>
      <c r="D80" s="1098">
        <v>42576</v>
      </c>
      <c r="E80" s="1101" t="s">
        <v>444</v>
      </c>
      <c r="F80" s="1101" t="s">
        <v>910</v>
      </c>
      <c r="G80" s="952">
        <v>30480</v>
      </c>
    </row>
    <row r="81" spans="1:8" ht="49.5" customHeight="1">
      <c r="A81" s="1108" t="s">
        <v>817</v>
      </c>
      <c r="B81" s="1010" t="s">
        <v>539</v>
      </c>
      <c r="C81" s="1010" t="s">
        <v>975</v>
      </c>
      <c r="D81" s="1098">
        <v>43520</v>
      </c>
      <c r="E81" s="1098">
        <v>43884</v>
      </c>
      <c r="F81" s="1101" t="s">
        <v>911</v>
      </c>
      <c r="G81" s="952">
        <v>304800</v>
      </c>
    </row>
    <row r="82" spans="1:8" ht="45">
      <c r="A82" s="1108" t="s">
        <v>818</v>
      </c>
      <c r="B82" s="1010" t="s">
        <v>845</v>
      </c>
      <c r="C82" s="1010" t="s">
        <v>875</v>
      </c>
      <c r="D82" s="1098">
        <v>43084</v>
      </c>
      <c r="E82" s="1101" t="s">
        <v>444</v>
      </c>
      <c r="F82" s="1101" t="s">
        <v>929</v>
      </c>
      <c r="G82" s="952">
        <v>232440</v>
      </c>
    </row>
    <row r="83" spans="1:8" ht="45">
      <c r="A83" s="1108" t="s">
        <v>930</v>
      </c>
      <c r="B83" s="1010" t="s">
        <v>846</v>
      </c>
      <c r="C83" s="1010" t="s">
        <v>976</v>
      </c>
      <c r="D83" s="1098">
        <v>43738</v>
      </c>
      <c r="E83" s="1098">
        <v>44561</v>
      </c>
      <c r="F83" s="1101" t="s">
        <v>912</v>
      </c>
      <c r="G83" s="952">
        <v>8111109</v>
      </c>
    </row>
    <row r="84" spans="1:8" ht="47.25" customHeight="1">
      <c r="A84" s="1108" t="s">
        <v>819</v>
      </c>
      <c r="B84" s="1010" t="s">
        <v>847</v>
      </c>
      <c r="C84" s="1010" t="s">
        <v>876</v>
      </c>
      <c r="D84" s="1098">
        <v>36696</v>
      </c>
      <c r="E84" s="1101" t="s">
        <v>444</v>
      </c>
      <c r="F84" s="1103" t="s">
        <v>931</v>
      </c>
      <c r="G84" s="952">
        <v>1210000</v>
      </c>
    </row>
    <row r="85" spans="1:8" ht="47.25" customHeight="1">
      <c r="A85" s="1108" t="s">
        <v>820</v>
      </c>
      <c r="B85" s="1010" t="s">
        <v>848</v>
      </c>
      <c r="C85" s="1010" t="s">
        <v>877</v>
      </c>
      <c r="D85" s="1098">
        <v>38351</v>
      </c>
      <c r="E85" s="1101" t="s">
        <v>444</v>
      </c>
      <c r="F85" s="1101" t="s">
        <v>913</v>
      </c>
      <c r="G85" s="952">
        <v>1892808</v>
      </c>
    </row>
    <row r="86" spans="1:8" ht="47.25" customHeight="1">
      <c r="A86" s="1108" t="s">
        <v>821</v>
      </c>
      <c r="B86" s="1010" t="s">
        <v>849</v>
      </c>
      <c r="C86" s="1010" t="s">
        <v>878</v>
      </c>
      <c r="D86" s="1098">
        <v>43691</v>
      </c>
      <c r="E86" s="1098">
        <v>44074</v>
      </c>
      <c r="F86" s="1105" t="s">
        <v>925</v>
      </c>
      <c r="G86" s="952">
        <v>30320</v>
      </c>
    </row>
    <row r="87" spans="1:8" ht="47.25" customHeight="1">
      <c r="A87" s="1108" t="s">
        <v>822</v>
      </c>
      <c r="B87" s="1010" t="s">
        <v>850</v>
      </c>
      <c r="C87" s="1010" t="s">
        <v>879</v>
      </c>
      <c r="D87" s="1098">
        <v>39903</v>
      </c>
      <c r="E87" s="1101" t="s">
        <v>444</v>
      </c>
      <c r="F87" s="1103" t="s">
        <v>914</v>
      </c>
      <c r="G87" s="952">
        <v>914400</v>
      </c>
    </row>
    <row r="88" spans="1:8" ht="60">
      <c r="A88" s="1108" t="s">
        <v>823</v>
      </c>
      <c r="B88" s="1010" t="s">
        <v>851</v>
      </c>
      <c r="C88" s="1010" t="s">
        <v>880</v>
      </c>
      <c r="D88" s="1098">
        <v>43614</v>
      </c>
      <c r="E88" s="1098">
        <v>45473</v>
      </c>
      <c r="F88" s="1103" t="s">
        <v>932</v>
      </c>
      <c r="G88" s="952">
        <v>1232400</v>
      </c>
    </row>
    <row r="89" spans="1:8" ht="60">
      <c r="A89" s="1108" t="s">
        <v>824</v>
      </c>
      <c r="B89" s="1010" t="s">
        <v>483</v>
      </c>
      <c r="C89" s="1010" t="s">
        <v>881</v>
      </c>
      <c r="D89" s="1098">
        <v>42826</v>
      </c>
      <c r="E89" s="1101" t="s">
        <v>444</v>
      </c>
      <c r="F89" s="1101" t="s">
        <v>933</v>
      </c>
      <c r="G89" s="952">
        <v>1280160</v>
      </c>
      <c r="H89" s="1015"/>
    </row>
    <row r="90" spans="1:8" ht="45">
      <c r="A90" s="1108" t="s">
        <v>825</v>
      </c>
      <c r="B90" s="1010" t="s">
        <v>481</v>
      </c>
      <c r="C90" s="1010" t="s">
        <v>882</v>
      </c>
      <c r="D90" s="1098">
        <v>42067</v>
      </c>
      <c r="E90" s="1101" t="s">
        <v>444</v>
      </c>
      <c r="F90" s="1101" t="s">
        <v>915</v>
      </c>
      <c r="G90" s="952">
        <v>480000</v>
      </c>
    </row>
    <row r="91" spans="1:8" ht="63.75" customHeight="1">
      <c r="A91" s="1108" t="s">
        <v>826</v>
      </c>
      <c r="B91" s="1010" t="s">
        <v>486</v>
      </c>
      <c r="C91" s="1010" t="s">
        <v>883</v>
      </c>
      <c r="D91" s="1098">
        <v>38636</v>
      </c>
      <c r="E91" s="1101" t="s">
        <v>444</v>
      </c>
      <c r="F91" s="1101" t="s">
        <v>934</v>
      </c>
      <c r="G91" s="952">
        <v>234630</v>
      </c>
    </row>
    <row r="92" spans="1:8" ht="45">
      <c r="A92" s="1108" t="s">
        <v>827</v>
      </c>
      <c r="B92" s="1010" t="s">
        <v>852</v>
      </c>
      <c r="C92" s="1010" t="s">
        <v>884</v>
      </c>
      <c r="D92" s="1098">
        <v>43081</v>
      </c>
      <c r="E92" s="1101" t="s">
        <v>444</v>
      </c>
      <c r="F92" s="1101" t="s">
        <v>916</v>
      </c>
      <c r="G92" s="952">
        <v>1066800</v>
      </c>
    </row>
    <row r="93" spans="1:8" ht="30">
      <c r="A93" s="1108" t="s">
        <v>828</v>
      </c>
      <c r="B93" s="1010" t="s">
        <v>853</v>
      </c>
      <c r="C93" s="1010" t="s">
        <v>885</v>
      </c>
      <c r="D93" s="1098">
        <v>43815</v>
      </c>
      <c r="E93" s="1101" t="s">
        <v>444</v>
      </c>
      <c r="F93" s="1101" t="s">
        <v>917</v>
      </c>
      <c r="G93" s="952">
        <v>165258</v>
      </c>
    </row>
    <row r="94" spans="1:8" ht="34.5" customHeight="1">
      <c r="A94" s="1108" t="s">
        <v>829</v>
      </c>
      <c r="B94" s="1010" t="s">
        <v>854</v>
      </c>
      <c r="C94" s="1010" t="s">
        <v>886</v>
      </c>
      <c r="D94" s="1099">
        <v>43798</v>
      </c>
      <c r="E94" s="1102" t="s">
        <v>444</v>
      </c>
      <c r="F94" s="1104" t="s">
        <v>918</v>
      </c>
      <c r="G94" s="1012">
        <v>65880</v>
      </c>
    </row>
    <row r="95" spans="1:8" ht="30">
      <c r="A95" s="1108" t="s">
        <v>830</v>
      </c>
      <c r="B95" s="1010" t="s">
        <v>854</v>
      </c>
      <c r="C95" s="1010" t="s">
        <v>887</v>
      </c>
      <c r="D95" s="1099">
        <v>43624</v>
      </c>
      <c r="E95" s="1102" t="s">
        <v>444</v>
      </c>
      <c r="F95" s="1104" t="s">
        <v>919</v>
      </c>
      <c r="G95" s="1012">
        <v>170160</v>
      </c>
    </row>
    <row r="96" spans="1:8" ht="30">
      <c r="A96" s="1108" t="s">
        <v>831</v>
      </c>
      <c r="B96" s="1010" t="s">
        <v>854</v>
      </c>
      <c r="C96" s="1010" t="s">
        <v>888</v>
      </c>
      <c r="D96" s="1099">
        <v>43587</v>
      </c>
      <c r="E96" s="1102" t="s">
        <v>444</v>
      </c>
      <c r="F96" s="1104" t="s">
        <v>920</v>
      </c>
      <c r="G96" s="1012">
        <v>62040</v>
      </c>
    </row>
    <row r="97" spans="1:7" ht="30">
      <c r="A97" s="1108" t="s">
        <v>832</v>
      </c>
      <c r="B97" s="1010" t="s">
        <v>854</v>
      </c>
      <c r="C97" s="1010" t="s">
        <v>889</v>
      </c>
      <c r="D97" s="1099">
        <v>43454</v>
      </c>
      <c r="E97" s="1102" t="s">
        <v>444</v>
      </c>
      <c r="F97" s="1104" t="s">
        <v>921</v>
      </c>
      <c r="G97" s="1012">
        <v>70680</v>
      </c>
    </row>
    <row r="98" spans="1:7" ht="30.75" thickBot="1">
      <c r="A98" s="1109" t="s">
        <v>833</v>
      </c>
      <c r="B98" s="1019" t="s">
        <v>854</v>
      </c>
      <c r="C98" s="1019" t="s">
        <v>890</v>
      </c>
      <c r="D98" s="1110">
        <v>43515</v>
      </c>
      <c r="E98" s="1111" t="s">
        <v>444</v>
      </c>
      <c r="F98" s="1112" t="s">
        <v>922</v>
      </c>
      <c r="G98" s="1012">
        <v>109320</v>
      </c>
    </row>
    <row r="99" spans="1:7">
      <c r="D99" s="1100"/>
      <c r="F99" s="1106"/>
    </row>
    <row r="100" spans="1:7">
      <c r="F100" s="1106"/>
    </row>
    <row r="101" spans="1:7">
      <c r="F101" s="1106"/>
    </row>
    <row r="102" spans="1:7">
      <c r="F102" s="1107"/>
    </row>
  </sheetData>
  <mergeCells count="2">
    <mergeCell ref="A1:G1"/>
    <mergeCell ref="A55:G55"/>
  </mergeCells>
  <pageMargins left="0.7" right="0.7" top="0.75" bottom="0.75" header="0.3" footer="0.3"/>
  <pageSetup paperSize="9" scale="56" orientation="portrait" r:id="rId1"/>
  <headerFooter>
    <oddHeader xml:space="preserve">&amp;L&amp;"Arial,Dőlt"2. sz tájékoztató tábla a 2/2020. (II.14.) önkormányzati rendelethez&amp;"Arial,Normál"
</oddHeader>
  </headerFooter>
  <rowBreaks count="1" manualBreakCount="1">
    <brk id="71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H28"/>
  <sheetViews>
    <sheetView view="pageLayout" zoomScaleNormal="100" zoomScaleSheetLayoutView="100" workbookViewId="0">
      <selection activeCell="B7" sqref="B7"/>
    </sheetView>
  </sheetViews>
  <sheetFormatPr defaultColWidth="9.140625" defaultRowHeight="15"/>
  <cols>
    <col min="1" max="1" width="8.140625" style="90" customWidth="1"/>
    <col min="2" max="2" width="65.7109375" style="90" customWidth="1"/>
    <col min="3" max="3" width="13.7109375" style="90" customWidth="1"/>
    <col min="4" max="4" width="12" style="90" hidden="1" customWidth="1"/>
    <col min="5" max="5" width="12.140625" style="90" hidden="1" customWidth="1"/>
    <col min="6" max="6" width="11.42578125" style="90" hidden="1" customWidth="1"/>
    <col min="7" max="7" width="12.140625" style="90" hidden="1" customWidth="1"/>
    <col min="8" max="8" width="11.42578125" style="90" hidden="1" customWidth="1"/>
    <col min="9" max="16384" width="9.140625" style="90"/>
  </cols>
  <sheetData>
    <row r="1" spans="1:8" ht="15.75">
      <c r="A1" s="1397" t="s">
        <v>487</v>
      </c>
      <c r="B1" s="1397"/>
      <c r="C1" s="1397"/>
      <c r="D1" s="1397"/>
      <c r="E1" s="1397"/>
      <c r="F1" s="1397"/>
    </row>
    <row r="2" spans="1:8" ht="15.75" thickBot="1">
      <c r="A2" s="570"/>
      <c r="B2" s="571"/>
      <c r="C2" s="1072" t="s">
        <v>692</v>
      </c>
      <c r="F2" s="572"/>
      <c r="H2" s="572" t="s">
        <v>488</v>
      </c>
    </row>
    <row r="3" spans="1:8" ht="43.5" thickBot="1">
      <c r="A3" s="564" t="s">
        <v>122</v>
      </c>
      <c r="B3" s="565" t="s">
        <v>489</v>
      </c>
      <c r="C3" s="573" t="s">
        <v>490</v>
      </c>
      <c r="D3" s="574" t="s">
        <v>91</v>
      </c>
      <c r="E3" s="575" t="s">
        <v>491</v>
      </c>
      <c r="F3" s="575" t="s">
        <v>91</v>
      </c>
      <c r="G3" s="574" t="s">
        <v>491</v>
      </c>
      <c r="H3" s="573" t="s">
        <v>492</v>
      </c>
    </row>
    <row r="4" spans="1:8">
      <c r="A4" s="576" t="s">
        <v>21</v>
      </c>
      <c r="B4" s="577" t="s">
        <v>493</v>
      </c>
      <c r="C4" s="578">
        <v>0</v>
      </c>
      <c r="D4" s="579">
        <v>0</v>
      </c>
      <c r="E4" s="449">
        <v>0</v>
      </c>
      <c r="F4" s="449">
        <f>D4+E4</f>
        <v>0</v>
      </c>
      <c r="G4" s="580"/>
      <c r="H4" s="581">
        <f>F4+G4</f>
        <v>0</v>
      </c>
    </row>
    <row r="5" spans="1:8">
      <c r="A5" s="582" t="s">
        <v>22</v>
      </c>
      <c r="B5" s="583" t="s">
        <v>494</v>
      </c>
      <c r="C5" s="584">
        <v>0</v>
      </c>
      <c r="D5" s="585">
        <v>0</v>
      </c>
      <c r="E5" s="450">
        <v>0</v>
      </c>
      <c r="F5" s="450">
        <f>D5+E5</f>
        <v>0</v>
      </c>
      <c r="G5" s="586"/>
      <c r="H5" s="451">
        <f>F5+G5</f>
        <v>0</v>
      </c>
    </row>
    <row r="6" spans="1:8">
      <c r="A6" s="582" t="s">
        <v>23</v>
      </c>
      <c r="B6" s="583" t="s">
        <v>495</v>
      </c>
      <c r="C6" s="584">
        <v>0</v>
      </c>
      <c r="D6" s="585">
        <v>0</v>
      </c>
      <c r="E6" s="450">
        <v>0</v>
      </c>
      <c r="F6" s="450">
        <f t="shared" ref="F6:F17" si="0">D6+E6</f>
        <v>0</v>
      </c>
      <c r="G6" s="586"/>
      <c r="H6" s="451">
        <f t="shared" ref="H6:H20" si="1">F6+G6</f>
        <v>0</v>
      </c>
    </row>
    <row r="7" spans="1:8">
      <c r="A7" s="582" t="s">
        <v>24</v>
      </c>
      <c r="B7" s="583" t="s">
        <v>496</v>
      </c>
      <c r="C7" s="584">
        <v>0</v>
      </c>
      <c r="D7" s="585">
        <v>0</v>
      </c>
      <c r="E7" s="450">
        <v>0</v>
      </c>
      <c r="F7" s="450">
        <f t="shared" si="0"/>
        <v>0</v>
      </c>
      <c r="G7" s="586"/>
      <c r="H7" s="451">
        <f t="shared" si="1"/>
        <v>0</v>
      </c>
    </row>
    <row r="8" spans="1:8">
      <c r="A8" s="582" t="s">
        <v>25</v>
      </c>
      <c r="B8" s="583" t="s">
        <v>497</v>
      </c>
      <c r="C8" s="584">
        <f>SUM(C9:C12)</f>
        <v>30326</v>
      </c>
      <c r="D8" s="587">
        <f>SUM(D9:D12)</f>
        <v>22290</v>
      </c>
      <c r="E8" s="588">
        <f>SUM(E9:E12)</f>
        <v>0</v>
      </c>
      <c r="F8" s="589">
        <f t="shared" si="0"/>
        <v>22290</v>
      </c>
      <c r="G8" s="587">
        <f>SUM(G9:G12)</f>
        <v>0</v>
      </c>
      <c r="H8" s="590">
        <f t="shared" si="1"/>
        <v>22290</v>
      </c>
    </row>
    <row r="9" spans="1:8" s="218" customFormat="1">
      <c r="A9" s="591" t="s">
        <v>55</v>
      </c>
      <c r="B9" s="592" t="s">
        <v>977</v>
      </c>
      <c r="C9" s="593">
        <v>62</v>
      </c>
      <c r="D9" s="594">
        <v>21665</v>
      </c>
      <c r="E9" s="595"/>
      <c r="F9" s="595">
        <f>D9+E9</f>
        <v>21665</v>
      </c>
      <c r="G9" s="596"/>
      <c r="H9" s="597">
        <f>F9+G9</f>
        <v>21665</v>
      </c>
    </row>
    <row r="10" spans="1:8">
      <c r="A10" s="598"/>
      <c r="B10" s="599" t="s">
        <v>498</v>
      </c>
      <c r="C10" s="854">
        <v>23019</v>
      </c>
    </row>
    <row r="11" spans="1:8" s="218" customFormat="1" ht="30">
      <c r="A11" s="600" t="s">
        <v>55</v>
      </c>
      <c r="B11" s="599" t="s">
        <v>979</v>
      </c>
      <c r="C11" s="601">
        <v>7245</v>
      </c>
      <c r="D11" s="594">
        <v>625</v>
      </c>
      <c r="E11" s="602">
        <v>0</v>
      </c>
      <c r="F11" s="602">
        <f t="shared" si="0"/>
        <v>625</v>
      </c>
      <c r="G11" s="594"/>
      <c r="H11" s="603">
        <f t="shared" si="1"/>
        <v>625</v>
      </c>
    </row>
    <row r="12" spans="1:8" s="218" customFormat="1" ht="30">
      <c r="A12" s="604" t="s">
        <v>55</v>
      </c>
      <c r="B12" s="605" t="s">
        <v>499</v>
      </c>
      <c r="C12" s="606"/>
      <c r="D12" s="607">
        <v>0</v>
      </c>
      <c r="E12" s="608">
        <v>0</v>
      </c>
      <c r="F12" s="608">
        <f t="shared" si="0"/>
        <v>0</v>
      </c>
      <c r="G12" s="607"/>
      <c r="H12" s="609">
        <f t="shared" si="1"/>
        <v>0</v>
      </c>
    </row>
    <row r="13" spans="1:8">
      <c r="A13" s="582" t="s">
        <v>26</v>
      </c>
      <c r="B13" s="583" t="s">
        <v>500</v>
      </c>
      <c r="C13" s="584">
        <f>SUM(C14:C16)</f>
        <v>1554</v>
      </c>
      <c r="D13" s="586">
        <v>5271</v>
      </c>
      <c r="E13" s="450"/>
      <c r="F13" s="450">
        <f t="shared" si="0"/>
        <v>5271</v>
      </c>
      <c r="G13" s="586"/>
      <c r="H13" s="451">
        <f t="shared" si="1"/>
        <v>5271</v>
      </c>
    </row>
    <row r="14" spans="1:8">
      <c r="A14" s="582"/>
      <c r="B14" s="592" t="s">
        <v>978</v>
      </c>
      <c r="C14" s="953">
        <v>429</v>
      </c>
      <c r="D14" s="586"/>
      <c r="E14" s="450"/>
      <c r="F14" s="450"/>
      <c r="G14" s="586"/>
      <c r="H14" s="451"/>
    </row>
    <row r="15" spans="1:8">
      <c r="A15" s="582"/>
      <c r="B15" s="583" t="s">
        <v>501</v>
      </c>
      <c r="C15" s="953">
        <v>1125</v>
      </c>
      <c r="D15" s="586"/>
      <c r="E15" s="450"/>
      <c r="F15" s="450"/>
      <c r="G15" s="586"/>
      <c r="H15" s="451"/>
    </row>
    <row r="16" spans="1:8">
      <c r="A16" s="582"/>
      <c r="B16" s="926" t="s">
        <v>660</v>
      </c>
      <c r="C16" s="953"/>
      <c r="D16" s="586"/>
      <c r="E16" s="810"/>
      <c r="F16" s="810"/>
      <c r="G16" s="586"/>
      <c r="H16" s="451"/>
    </row>
    <row r="17" spans="1:8">
      <c r="A17" s="582" t="s">
        <v>27</v>
      </c>
      <c r="B17" s="583" t="s">
        <v>980</v>
      </c>
      <c r="C17" s="584">
        <v>0</v>
      </c>
      <c r="D17" s="586">
        <v>0</v>
      </c>
      <c r="E17" s="450">
        <v>0</v>
      </c>
      <c r="F17" s="450">
        <f t="shared" si="0"/>
        <v>0</v>
      </c>
      <c r="G17" s="586"/>
      <c r="H17" s="451">
        <f t="shared" si="1"/>
        <v>0</v>
      </c>
    </row>
    <row r="18" spans="1:8" s="218" customFormat="1">
      <c r="A18" s="604"/>
      <c r="B18" s="611" t="s">
        <v>505</v>
      </c>
      <c r="C18" s="612">
        <v>0</v>
      </c>
      <c r="D18" s="610"/>
      <c r="E18" s="589"/>
      <c r="F18" s="589"/>
      <c r="G18" s="610"/>
      <c r="H18" s="590"/>
    </row>
    <row r="19" spans="1:8">
      <c r="A19" s="582" t="s">
        <v>28</v>
      </c>
      <c r="B19" s="583" t="s">
        <v>981</v>
      </c>
      <c r="C19" s="584">
        <v>0</v>
      </c>
      <c r="D19" s="586">
        <v>0</v>
      </c>
      <c r="E19" s="450">
        <v>0</v>
      </c>
      <c r="F19" s="450">
        <f t="shared" ref="F19:F20" si="2">D19+E19</f>
        <v>0</v>
      </c>
      <c r="G19" s="586"/>
      <c r="H19" s="451">
        <f t="shared" si="1"/>
        <v>0</v>
      </c>
    </row>
    <row r="20" spans="1:8">
      <c r="A20" s="582" t="s">
        <v>29</v>
      </c>
      <c r="B20" s="583" t="s">
        <v>502</v>
      </c>
      <c r="C20" s="584">
        <f>SUM(C21:C22)</f>
        <v>2000</v>
      </c>
      <c r="D20" s="587">
        <v>10548</v>
      </c>
      <c r="E20" s="588">
        <f>SUM(E21:E22)</f>
        <v>0</v>
      </c>
      <c r="F20" s="450">
        <f t="shared" si="2"/>
        <v>10548</v>
      </c>
      <c r="G20" s="587">
        <f>SUM(G21:G22)</f>
        <v>0</v>
      </c>
      <c r="H20" s="451">
        <f t="shared" si="1"/>
        <v>10548</v>
      </c>
    </row>
    <row r="21" spans="1:8" s="218" customFormat="1">
      <c r="A21" s="591"/>
      <c r="B21" s="613" t="s">
        <v>503</v>
      </c>
      <c r="C21" s="593">
        <v>2000</v>
      </c>
      <c r="D21" s="596">
        <v>2048</v>
      </c>
      <c r="E21" s="595"/>
      <c r="F21" s="614">
        <f>D21+E21</f>
        <v>2048</v>
      </c>
      <c r="G21" s="596"/>
      <c r="H21" s="536">
        <f>F21+G21</f>
        <v>2048</v>
      </c>
    </row>
    <row r="22" spans="1:8" s="218" customFormat="1">
      <c r="A22" s="604"/>
      <c r="B22" s="615" t="s">
        <v>982</v>
      </c>
      <c r="C22" s="606" t="s">
        <v>681</v>
      </c>
      <c r="D22" s="607">
        <v>4500</v>
      </c>
      <c r="E22" s="608">
        <v>0</v>
      </c>
      <c r="F22" s="616">
        <f>D22+E22</f>
        <v>4500</v>
      </c>
      <c r="G22" s="607"/>
      <c r="H22" s="617">
        <f>F22+G22</f>
        <v>4500</v>
      </c>
    </row>
    <row r="23" spans="1:8" ht="15.75" thickBot="1">
      <c r="A23" s="618" t="s">
        <v>36</v>
      </c>
      <c r="B23" s="619" t="s">
        <v>504</v>
      </c>
      <c r="C23" s="620">
        <v>0</v>
      </c>
      <c r="D23" s="621">
        <v>0</v>
      </c>
      <c r="E23" s="455">
        <v>0</v>
      </c>
      <c r="F23" s="455">
        <f>D23+E23</f>
        <v>0</v>
      </c>
      <c r="G23" s="621"/>
      <c r="H23" s="622">
        <f>F23+G23</f>
        <v>0</v>
      </c>
    </row>
    <row r="24" spans="1:8" s="629" customFormat="1" ht="16.5" thickBot="1">
      <c r="A24" s="623"/>
      <c r="B24" s="624" t="s">
        <v>395</v>
      </c>
      <c r="C24" s="625">
        <f>C4+C5+C6+C7+C8+C13+C17+C19+C20</f>
        <v>33880</v>
      </c>
      <c r="D24" s="626">
        <f>SUM(D4:D8,D13:D20,D23)</f>
        <v>38109</v>
      </c>
      <c r="E24" s="627">
        <f>E4+E5+E6+E7+E8+E13+E17+E19+E20</f>
        <v>0</v>
      </c>
      <c r="F24" s="627">
        <f>D24+E24</f>
        <v>38109</v>
      </c>
      <c r="G24" s="626">
        <f>G4+G5+G6+G7+G8+G13+G17+G19+G20</f>
        <v>0</v>
      </c>
      <c r="H24" s="628">
        <f>F24+G24</f>
        <v>38109</v>
      </c>
    </row>
    <row r="27" spans="1:8">
      <c r="A27" s="430"/>
    </row>
    <row r="28" spans="1:8">
      <c r="A28" s="630"/>
    </row>
  </sheetData>
  <mergeCells count="1">
    <mergeCell ref="A1:F1"/>
  </mergeCells>
  <pageMargins left="0.7" right="0.7" top="0.75" bottom="0.75" header="0.3" footer="0.3"/>
  <pageSetup paperSize="9" orientation="portrait" r:id="rId1"/>
  <headerFooter>
    <oddHeader>&amp;L&amp;"Arial,Dőlt"3. számú tájékoztató tábla a 2/2020. (II.14.)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L21"/>
  <sheetViews>
    <sheetView view="pageLayout" topLeftCell="B1" zoomScaleNormal="100" zoomScaleSheetLayoutView="100" workbookViewId="0">
      <selection activeCell="B5" sqref="B5"/>
    </sheetView>
  </sheetViews>
  <sheetFormatPr defaultColWidth="9.140625" defaultRowHeight="15"/>
  <cols>
    <col min="1" max="1" width="9.140625" style="90"/>
    <col min="2" max="2" width="38.7109375" style="90" customWidth="1"/>
    <col min="3" max="6" width="16.140625" style="90" customWidth="1"/>
    <col min="7" max="7" width="10.5703125" style="90" customWidth="1"/>
    <col min="8" max="8" width="33.7109375" style="90" customWidth="1"/>
    <col min="9" max="12" width="16.140625" style="90" customWidth="1"/>
    <col min="13" max="16384" width="9.140625" style="90"/>
  </cols>
  <sheetData>
    <row r="1" spans="1:12" ht="15.75" thickBot="1">
      <c r="L1" s="1066" t="s">
        <v>692</v>
      </c>
    </row>
    <row r="2" spans="1:12" ht="28.5">
      <c r="A2" s="538" t="s">
        <v>398</v>
      </c>
      <c r="B2" s="539" t="s">
        <v>8</v>
      </c>
      <c r="C2" s="519" t="s">
        <v>535</v>
      </c>
      <c r="D2" s="519" t="s">
        <v>669</v>
      </c>
      <c r="E2" s="519" t="s">
        <v>680</v>
      </c>
      <c r="F2" s="540" t="s">
        <v>745</v>
      </c>
      <c r="G2" s="541" t="s">
        <v>398</v>
      </c>
      <c r="H2" s="542" t="s">
        <v>9</v>
      </c>
      <c r="I2" s="519" t="s">
        <v>535</v>
      </c>
      <c r="J2" s="519" t="s">
        <v>669</v>
      </c>
      <c r="K2" s="519" t="s">
        <v>680</v>
      </c>
      <c r="L2" s="540" t="s">
        <v>745</v>
      </c>
    </row>
    <row r="3" spans="1:12" ht="30" customHeight="1">
      <c r="A3" s="543"/>
      <c r="B3" s="544" t="s">
        <v>10</v>
      </c>
      <c r="C3" s="845">
        <f>C4+C6+C12+C13</f>
        <v>2717111</v>
      </c>
      <c r="D3" s="845">
        <f>D4+D6+D12+D13</f>
        <v>2681200</v>
      </c>
      <c r="E3" s="845">
        <f t="shared" ref="E3:F3" si="0">E4+E6+E12+E13</f>
        <v>2686150</v>
      </c>
      <c r="F3" s="845">
        <f t="shared" si="0"/>
        <v>2686150</v>
      </c>
      <c r="G3" s="545"/>
      <c r="H3" s="846" t="s">
        <v>11</v>
      </c>
      <c r="I3" s="847">
        <f>SUM(I4:I14)</f>
        <v>3088266</v>
      </c>
      <c r="J3" s="847">
        <f>SUM(J4:J14)</f>
        <v>2473375</v>
      </c>
      <c r="K3" s="847">
        <f>SUM(K4:K14)</f>
        <v>2488560</v>
      </c>
      <c r="L3" s="546">
        <f>SUM(L4:L14)</f>
        <v>2447250</v>
      </c>
    </row>
    <row r="4" spans="1:12" ht="30" customHeight="1">
      <c r="A4" s="547" t="s">
        <v>399</v>
      </c>
      <c r="B4" s="548" t="s">
        <v>194</v>
      </c>
      <c r="C4" s="848">
        <f>'2'!B5</f>
        <v>1261942</v>
      </c>
      <c r="D4" s="848">
        <v>1200000</v>
      </c>
      <c r="E4" s="848">
        <v>1200000</v>
      </c>
      <c r="F4" s="549">
        <v>1200000</v>
      </c>
      <c r="G4" s="550" t="s">
        <v>412</v>
      </c>
      <c r="H4" s="779" t="s">
        <v>6</v>
      </c>
      <c r="I4" s="849">
        <f>'2'!B28</f>
        <v>1032205.2</v>
      </c>
      <c r="J4" s="849">
        <v>1025000</v>
      </c>
      <c r="K4" s="848">
        <v>1030000</v>
      </c>
      <c r="L4" s="549">
        <v>1030000</v>
      </c>
    </row>
    <row r="5" spans="1:12" ht="30" customHeight="1">
      <c r="A5" s="562" t="s">
        <v>400</v>
      </c>
      <c r="B5" s="561" t="s">
        <v>431</v>
      </c>
      <c r="C5" s="850">
        <f>'4'!C5</f>
        <v>1234719</v>
      </c>
      <c r="D5" s="850">
        <v>1150000</v>
      </c>
      <c r="E5" s="850">
        <v>1150000</v>
      </c>
      <c r="F5" s="563">
        <v>1150000</v>
      </c>
      <c r="G5" s="550" t="s">
        <v>415</v>
      </c>
      <c r="H5" s="779" t="s">
        <v>162</v>
      </c>
      <c r="I5" s="849">
        <f>'2'!B29</f>
        <v>208894.8</v>
      </c>
      <c r="J5" s="849">
        <v>179375</v>
      </c>
      <c r="K5" s="849">
        <v>180250</v>
      </c>
      <c r="L5" s="849">
        <v>180250</v>
      </c>
    </row>
    <row r="6" spans="1:12" ht="30" customHeight="1">
      <c r="A6" s="547" t="s">
        <v>401</v>
      </c>
      <c r="B6" s="548" t="s">
        <v>204</v>
      </c>
      <c r="C6" s="848">
        <f>'2'!B6</f>
        <v>1028000</v>
      </c>
      <c r="D6" s="848">
        <f>SUM(D7:D11)</f>
        <v>1051000</v>
      </c>
      <c r="E6" s="848">
        <f t="shared" ref="E6:F6" si="1">SUM(E7:E11)</f>
        <v>1056000</v>
      </c>
      <c r="F6" s="848">
        <f t="shared" si="1"/>
        <v>1056000</v>
      </c>
      <c r="G6" s="550" t="s">
        <v>416</v>
      </c>
      <c r="H6" s="779" t="s">
        <v>78</v>
      </c>
      <c r="I6" s="849">
        <f>'2'!B30</f>
        <v>925789</v>
      </c>
      <c r="J6" s="849">
        <v>931000</v>
      </c>
      <c r="K6" s="848">
        <v>940310</v>
      </c>
      <c r="L6" s="549">
        <v>949000</v>
      </c>
    </row>
    <row r="7" spans="1:12" ht="30" customHeight="1">
      <c r="A7" s="562" t="s">
        <v>402</v>
      </c>
      <c r="B7" s="561" t="s">
        <v>233</v>
      </c>
      <c r="C7" s="850">
        <f>'4'!C59</f>
        <v>255000</v>
      </c>
      <c r="D7" s="850">
        <v>260000</v>
      </c>
      <c r="E7" s="850">
        <v>265000</v>
      </c>
      <c r="F7" s="563">
        <v>265000</v>
      </c>
      <c r="G7" s="550" t="s">
        <v>413</v>
      </c>
      <c r="H7" s="779" t="s">
        <v>7</v>
      </c>
      <c r="I7" s="849">
        <f>'2'!B31</f>
        <v>38700</v>
      </c>
      <c r="J7" s="849">
        <v>38000</v>
      </c>
      <c r="K7" s="848">
        <v>38000</v>
      </c>
      <c r="L7" s="549">
        <v>38000</v>
      </c>
    </row>
    <row r="8" spans="1:12" ht="30" customHeight="1">
      <c r="A8" s="562" t="s">
        <v>403</v>
      </c>
      <c r="B8" s="561" t="s">
        <v>432</v>
      </c>
      <c r="C8" s="850">
        <f>'4'!C63</f>
        <v>700000</v>
      </c>
      <c r="D8" s="850">
        <v>720000</v>
      </c>
      <c r="E8" s="850">
        <v>720000</v>
      </c>
      <c r="F8" s="563">
        <v>720000</v>
      </c>
      <c r="G8" s="550" t="s">
        <v>417</v>
      </c>
      <c r="H8" s="779" t="s">
        <v>189</v>
      </c>
      <c r="I8" s="849">
        <f>'2'!B32</f>
        <v>882677</v>
      </c>
      <c r="J8" s="849">
        <v>300000</v>
      </c>
      <c r="K8" s="848">
        <v>300000</v>
      </c>
      <c r="L8" s="549">
        <v>250000</v>
      </c>
    </row>
    <row r="9" spans="1:12" ht="30" customHeight="1">
      <c r="A9" s="562" t="s">
        <v>403</v>
      </c>
      <c r="B9" s="561" t="s">
        <v>433</v>
      </c>
      <c r="C9" s="850">
        <f>'4'!C64</f>
        <v>66000</v>
      </c>
      <c r="D9" s="850">
        <v>65000</v>
      </c>
      <c r="E9" s="850">
        <v>65000</v>
      </c>
      <c r="F9" s="563">
        <v>65000</v>
      </c>
      <c r="G9" s="550"/>
      <c r="H9" s="779"/>
      <c r="I9" s="849"/>
      <c r="J9" s="849"/>
      <c r="K9" s="848"/>
      <c r="L9" s="549"/>
    </row>
    <row r="10" spans="1:12" ht="30" customHeight="1">
      <c r="A10" s="562" t="s">
        <v>403</v>
      </c>
      <c r="B10" s="561" t="s">
        <v>239</v>
      </c>
      <c r="C10" s="850">
        <f>'4'!C66</f>
        <v>2000</v>
      </c>
      <c r="D10" s="850">
        <v>2000</v>
      </c>
      <c r="E10" s="850">
        <v>2000</v>
      </c>
      <c r="F10" s="563">
        <v>2000</v>
      </c>
      <c r="G10" s="550"/>
      <c r="H10" s="779"/>
      <c r="I10" s="849"/>
      <c r="J10" s="849"/>
      <c r="K10" s="848"/>
      <c r="L10" s="549"/>
    </row>
    <row r="11" spans="1:12" ht="30" customHeight="1">
      <c r="A11" s="562" t="s">
        <v>404</v>
      </c>
      <c r="B11" s="561" t="s">
        <v>272</v>
      </c>
      <c r="C11" s="850">
        <f>'4'!C65+'5'!C7</f>
        <v>7000</v>
      </c>
      <c r="D11" s="850">
        <v>4000</v>
      </c>
      <c r="E11" s="850">
        <v>4000</v>
      </c>
      <c r="F11" s="563">
        <v>4000</v>
      </c>
      <c r="G11" s="550"/>
      <c r="H11" s="779"/>
      <c r="I11" s="849"/>
      <c r="J11" s="849"/>
      <c r="K11" s="848"/>
      <c r="L11" s="549"/>
    </row>
    <row r="12" spans="1:12" ht="30" customHeight="1">
      <c r="A12" s="547" t="s">
        <v>405</v>
      </c>
      <c r="B12" s="548" t="s">
        <v>12</v>
      </c>
      <c r="C12" s="848">
        <f>'2'!B7</f>
        <v>426949</v>
      </c>
      <c r="D12" s="848">
        <v>430000</v>
      </c>
      <c r="E12" s="848">
        <v>430000</v>
      </c>
      <c r="F12" s="549">
        <v>430000</v>
      </c>
      <c r="G12" s="550"/>
      <c r="H12" s="851"/>
      <c r="I12" s="849"/>
      <c r="J12" s="849"/>
      <c r="K12" s="848"/>
      <c r="L12" s="549"/>
    </row>
    <row r="13" spans="1:12" ht="30" customHeight="1">
      <c r="A13" s="547" t="s">
        <v>408</v>
      </c>
      <c r="B13" s="548" t="s">
        <v>206</v>
      </c>
      <c r="C13" s="848">
        <f>'2'!B8</f>
        <v>220</v>
      </c>
      <c r="D13" s="848">
        <v>200</v>
      </c>
      <c r="E13" s="848">
        <v>150</v>
      </c>
      <c r="F13" s="549">
        <v>150</v>
      </c>
      <c r="G13" s="550"/>
      <c r="H13" s="851"/>
      <c r="I13" s="849"/>
      <c r="J13" s="849"/>
      <c r="K13" s="848"/>
      <c r="L13" s="549"/>
    </row>
    <row r="14" spans="1:12" ht="30" customHeight="1">
      <c r="A14" s="551"/>
      <c r="B14" s="552"/>
      <c r="C14" s="848"/>
      <c r="D14" s="848"/>
      <c r="E14" s="848"/>
      <c r="F14" s="549"/>
      <c r="G14" s="550"/>
      <c r="H14" s="851"/>
      <c r="I14" s="849"/>
      <c r="J14" s="849"/>
      <c r="K14" s="848"/>
      <c r="L14" s="549"/>
    </row>
    <row r="15" spans="1:12" ht="30" customHeight="1">
      <c r="A15" s="543"/>
      <c r="B15" s="553" t="s">
        <v>14</v>
      </c>
      <c r="C15" s="847">
        <f>SUM(C16:C18)</f>
        <v>512414</v>
      </c>
      <c r="D15" s="847">
        <f t="shared" ref="D15:F15" si="2">SUM(D16:D18)</f>
        <v>5300</v>
      </c>
      <c r="E15" s="847">
        <f t="shared" si="2"/>
        <v>5300</v>
      </c>
      <c r="F15" s="847">
        <f t="shared" si="2"/>
        <v>5300</v>
      </c>
      <c r="G15" s="543"/>
      <c r="H15" s="846" t="s">
        <v>15</v>
      </c>
      <c r="I15" s="847">
        <f>SUM(I16:I18)</f>
        <v>962362</v>
      </c>
      <c r="J15" s="847">
        <f t="shared" ref="J15:L15" si="3">SUM(J16:J18)</f>
        <v>95000</v>
      </c>
      <c r="K15" s="847">
        <f t="shared" si="3"/>
        <v>83000</v>
      </c>
      <c r="L15" s="546">
        <f t="shared" si="3"/>
        <v>75000</v>
      </c>
    </row>
    <row r="16" spans="1:12" ht="30" customHeight="1">
      <c r="A16" s="547" t="s">
        <v>407</v>
      </c>
      <c r="B16" s="548" t="s">
        <v>195</v>
      </c>
      <c r="C16" s="848">
        <f>'2'!B11</f>
        <v>497114</v>
      </c>
      <c r="D16" s="848">
        <v>0</v>
      </c>
      <c r="E16" s="848">
        <v>0</v>
      </c>
      <c r="F16" s="549">
        <v>0</v>
      </c>
      <c r="G16" s="550" t="s">
        <v>414</v>
      </c>
      <c r="H16" s="779" t="s">
        <v>191</v>
      </c>
      <c r="I16" s="849">
        <f>'2'!B34</f>
        <v>669749</v>
      </c>
      <c r="J16" s="849">
        <v>50000</v>
      </c>
      <c r="K16" s="848">
        <v>40000</v>
      </c>
      <c r="L16" s="549">
        <v>40000</v>
      </c>
    </row>
    <row r="17" spans="1:12" ht="30" customHeight="1">
      <c r="A17" s="547" t="s">
        <v>406</v>
      </c>
      <c r="B17" s="548" t="s">
        <v>205</v>
      </c>
      <c r="C17" s="848">
        <f>'2'!B12</f>
        <v>10000</v>
      </c>
      <c r="D17" s="848">
        <v>5000</v>
      </c>
      <c r="E17" s="848">
        <v>5000</v>
      </c>
      <c r="F17" s="549">
        <v>5000</v>
      </c>
      <c r="G17" s="550" t="s">
        <v>418</v>
      </c>
      <c r="H17" s="779" t="s">
        <v>16</v>
      </c>
      <c r="I17" s="849">
        <f>'2'!B35</f>
        <v>140824</v>
      </c>
      <c r="J17" s="849">
        <v>38000</v>
      </c>
      <c r="K17" s="848">
        <v>38000</v>
      </c>
      <c r="L17" s="549">
        <v>30000</v>
      </c>
    </row>
    <row r="18" spans="1:12" ht="30" customHeight="1">
      <c r="A18" s="547" t="s">
        <v>409</v>
      </c>
      <c r="B18" s="548" t="s">
        <v>207</v>
      </c>
      <c r="C18" s="848">
        <f>'2'!B13</f>
        <v>5300</v>
      </c>
      <c r="D18" s="848">
        <v>300</v>
      </c>
      <c r="E18" s="848">
        <v>300</v>
      </c>
      <c r="F18" s="549">
        <v>300</v>
      </c>
      <c r="G18" s="550" t="s">
        <v>419</v>
      </c>
      <c r="H18" s="779" t="s">
        <v>192</v>
      </c>
      <c r="I18" s="849">
        <f>'2'!B36</f>
        <v>151789</v>
      </c>
      <c r="J18" s="849">
        <v>7000</v>
      </c>
      <c r="K18" s="848">
        <v>5000</v>
      </c>
      <c r="L18" s="549">
        <v>5000</v>
      </c>
    </row>
    <row r="19" spans="1:12" ht="30" customHeight="1">
      <c r="A19" s="543" t="s">
        <v>410</v>
      </c>
      <c r="B19" s="553" t="s">
        <v>17</v>
      </c>
      <c r="C19" s="847">
        <f>+C15+C3</f>
        <v>3229525</v>
      </c>
      <c r="D19" s="847">
        <f t="shared" ref="D19:F19" si="4">+D15+D3</f>
        <v>2686500</v>
      </c>
      <c r="E19" s="847">
        <f t="shared" si="4"/>
        <v>2691450</v>
      </c>
      <c r="F19" s="847">
        <f t="shared" si="4"/>
        <v>2691450</v>
      </c>
      <c r="G19" s="543" t="s">
        <v>420</v>
      </c>
      <c r="H19" s="846" t="s">
        <v>18</v>
      </c>
      <c r="I19" s="847">
        <f>SUM(I15+I3)</f>
        <v>4050628</v>
      </c>
      <c r="J19" s="847">
        <f t="shared" ref="J19:L19" si="5">SUM(J15+J3)</f>
        <v>2568375</v>
      </c>
      <c r="K19" s="847">
        <f t="shared" si="5"/>
        <v>2571560</v>
      </c>
      <c r="L19" s="546">
        <f t="shared" si="5"/>
        <v>2522250</v>
      </c>
    </row>
    <row r="20" spans="1:12" ht="30" customHeight="1">
      <c r="A20" s="543" t="s">
        <v>411</v>
      </c>
      <c r="B20" s="553" t="s">
        <v>75</v>
      </c>
      <c r="C20" s="554">
        <f>'2'!B15+'2'!B18</f>
        <v>869721</v>
      </c>
      <c r="D20" s="554">
        <v>200000</v>
      </c>
      <c r="E20" s="554">
        <v>200000</v>
      </c>
      <c r="F20" s="554">
        <v>200000</v>
      </c>
      <c r="G20" s="543" t="s">
        <v>421</v>
      </c>
      <c r="H20" s="553" t="s">
        <v>422</v>
      </c>
      <c r="I20" s="554">
        <f>'2'!B38</f>
        <v>48618</v>
      </c>
      <c r="J20" s="553"/>
      <c r="K20" s="553"/>
      <c r="L20" s="555"/>
    </row>
    <row r="21" spans="1:12" ht="30" customHeight="1" thickBot="1">
      <c r="A21" s="556" t="s">
        <v>410</v>
      </c>
      <c r="B21" s="557" t="s">
        <v>19</v>
      </c>
      <c r="C21" s="558">
        <f>C19+C20</f>
        <v>4099246</v>
      </c>
      <c r="D21" s="558">
        <f t="shared" ref="D21:F21" si="6">D19+D20</f>
        <v>2886500</v>
      </c>
      <c r="E21" s="558">
        <f t="shared" si="6"/>
        <v>2891450</v>
      </c>
      <c r="F21" s="559">
        <f t="shared" si="6"/>
        <v>2891450</v>
      </c>
      <c r="G21" s="556"/>
      <c r="H21" s="560" t="s">
        <v>20</v>
      </c>
      <c r="I21" s="558">
        <f>I19+I20</f>
        <v>4099246</v>
      </c>
      <c r="J21" s="558">
        <f>J19+J20</f>
        <v>2568375</v>
      </c>
      <c r="K21" s="558">
        <f t="shared" ref="K21:L21" si="7">K19+K20</f>
        <v>2571560</v>
      </c>
      <c r="L21" s="559">
        <f t="shared" si="7"/>
        <v>2522250</v>
      </c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61" orientation="landscape" r:id="rId1"/>
  <headerFooter>
    <oddHeader>&amp;L&amp;"Arial,Dőlt"4. számú tájékoztató tábla a 2/2020. (II.14.) önkormányzati rendelethez&amp;C
&amp;"Arial,Félkövér"&amp;14Költségvetési évet követő három év tervezett bevételi és kiadási előirányzatainak keretszáma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L44"/>
  <sheetViews>
    <sheetView view="pageLayout" zoomScale="90" zoomScaleNormal="70" zoomScaleSheetLayoutView="70" zoomScalePageLayoutView="90" workbookViewId="0">
      <selection activeCell="A4" sqref="A4"/>
    </sheetView>
  </sheetViews>
  <sheetFormatPr defaultColWidth="11.7109375" defaultRowHeight="28.5" customHeight="1"/>
  <cols>
    <col min="1" max="1" width="51" style="56" customWidth="1"/>
    <col min="2" max="2" width="21.140625" style="53" customWidth="1"/>
    <col min="3" max="3" width="20" style="53" customWidth="1"/>
    <col min="4" max="4" width="21.7109375" style="53" customWidth="1"/>
    <col min="5" max="5" width="15.7109375" style="53" customWidth="1"/>
    <col min="6" max="6" width="31.140625" style="26" customWidth="1"/>
    <col min="7" max="10" width="16.140625" style="26" customWidth="1"/>
    <col min="11" max="11" width="18.28515625" style="26" customWidth="1"/>
    <col min="12" max="12" width="12.5703125" style="26" bestFit="1" customWidth="1"/>
    <col min="13" max="16384" width="11.7109375" style="26"/>
  </cols>
  <sheetData>
    <row r="1" spans="1:12" ht="39" customHeight="1">
      <c r="A1" s="1203" t="s">
        <v>670</v>
      </c>
      <c r="B1" s="1204"/>
      <c r="C1" s="1204"/>
      <c r="D1" s="1204"/>
      <c r="E1" s="1204"/>
      <c r="F1" s="1204"/>
      <c r="G1" s="966"/>
      <c r="H1" s="966"/>
      <c r="I1" s="966"/>
      <c r="J1" s="966"/>
      <c r="K1" s="966"/>
    </row>
    <row r="2" spans="1:12" ht="28.5" customHeight="1" thickBot="1">
      <c r="A2" s="372"/>
      <c r="B2" s="372"/>
      <c r="C2" s="372"/>
      <c r="D2" s="372"/>
      <c r="E2" s="1059" t="s">
        <v>692</v>
      </c>
      <c r="F2" s="372"/>
      <c r="G2" s="372"/>
      <c r="H2" s="372"/>
      <c r="I2" s="372"/>
      <c r="J2" s="372"/>
      <c r="K2" s="25"/>
    </row>
    <row r="3" spans="1:12" ht="65.25" customHeight="1">
      <c r="A3" s="27" t="s">
        <v>8</v>
      </c>
      <c r="B3" s="28" t="s">
        <v>148</v>
      </c>
      <c r="C3" s="29" t="s">
        <v>163</v>
      </c>
      <c r="D3" s="29" t="s">
        <v>164</v>
      </c>
      <c r="E3" s="30" t="s">
        <v>161</v>
      </c>
    </row>
    <row r="4" spans="1:12" s="34" customFormat="1" ht="40.9" customHeight="1">
      <c r="A4" s="32" t="s">
        <v>10</v>
      </c>
      <c r="B4" s="731">
        <f>SUM(B5:B9)</f>
        <v>2717111</v>
      </c>
      <c r="C4" s="731">
        <f t="shared" ref="C4:E4" si="0">SUM(C5:C9)</f>
        <v>2419072</v>
      </c>
      <c r="D4" s="731">
        <f t="shared" si="0"/>
        <v>298039</v>
      </c>
      <c r="E4" s="731">
        <f t="shared" si="0"/>
        <v>0</v>
      </c>
    </row>
    <row r="5" spans="1:12" s="34" customFormat="1" ht="33" customHeight="1">
      <c r="A5" s="95" t="s">
        <v>194</v>
      </c>
      <c r="B5" s="734">
        <f>'3'!C115+'4'!C4+'5'!C4</f>
        <v>1261942</v>
      </c>
      <c r="C5" s="734">
        <f>'3'!D115+'4'!D4+'5'!D4</f>
        <v>1261942</v>
      </c>
      <c r="D5" s="734">
        <f>'3'!E115+'4'!E4+'5'!E4</f>
        <v>0</v>
      </c>
      <c r="E5" s="734">
        <f>'3'!F115+'4'!F4+'5'!F4</f>
        <v>0</v>
      </c>
    </row>
    <row r="6" spans="1:12" s="37" customFormat="1" ht="33" customHeight="1">
      <c r="A6" s="95" t="s">
        <v>204</v>
      </c>
      <c r="B6" s="734">
        <f>'3'!C117+'4'!C58+'5'!C6</f>
        <v>1028000</v>
      </c>
      <c r="C6" s="734">
        <f>'3'!D117+'4'!D58+'5'!D6</f>
        <v>1028000</v>
      </c>
      <c r="D6" s="734">
        <f>'3'!E117+'4'!E58+'5'!E6</f>
        <v>0</v>
      </c>
      <c r="E6" s="734">
        <f>'3'!F117+'4'!F58+'5'!F6</f>
        <v>0</v>
      </c>
      <c r="L6" s="964">
        <f>(B29/19.5*22)-B29</f>
        <v>26781.384615384624</v>
      </c>
    </row>
    <row r="7" spans="1:12" s="37" customFormat="1" ht="33" customHeight="1">
      <c r="A7" s="95" t="s">
        <v>12</v>
      </c>
      <c r="B7" s="734">
        <f>'3'!C118+'4'!C68+'5'!C10</f>
        <v>426949</v>
      </c>
      <c r="C7" s="734">
        <f>'3'!D118+'4'!D68+'5'!D10</f>
        <v>128930</v>
      </c>
      <c r="D7" s="734">
        <f>'3'!E118+'4'!E68+'5'!E10</f>
        <v>298019</v>
      </c>
      <c r="E7" s="734">
        <f>'3'!F118+'4'!F68+'5'!F10</f>
        <v>0</v>
      </c>
    </row>
    <row r="8" spans="1:12" s="34" customFormat="1" ht="33" customHeight="1">
      <c r="A8" s="95" t="s">
        <v>206</v>
      </c>
      <c r="B8" s="734">
        <f>'3'!C120+'4'!C97+'5'!C20</f>
        <v>220</v>
      </c>
      <c r="C8" s="734">
        <f>'3'!D120+'4'!D97+'5'!D20</f>
        <v>200</v>
      </c>
      <c r="D8" s="734">
        <f>'3'!E120+'4'!E97+'5'!E20</f>
        <v>20</v>
      </c>
      <c r="E8" s="734">
        <f>'3'!F120+'4'!F97+'5'!F20</f>
        <v>0</v>
      </c>
    </row>
    <row r="9" spans="1:12" s="38" customFormat="1" ht="33" customHeight="1">
      <c r="A9" s="96"/>
      <c r="B9" s="734">
        <v>0</v>
      </c>
      <c r="C9" s="734">
        <v>0</v>
      </c>
      <c r="D9" s="734">
        <v>0</v>
      </c>
      <c r="E9" s="734">
        <v>0</v>
      </c>
    </row>
    <row r="10" spans="1:12" s="34" customFormat="1" ht="40.9" customHeight="1">
      <c r="A10" s="40" t="s">
        <v>14</v>
      </c>
      <c r="B10" s="733">
        <f>SUM(B11:B13)</f>
        <v>512414</v>
      </c>
      <c r="C10" s="733">
        <f t="shared" ref="C10:D10" si="1">SUM(C11:C13)</f>
        <v>502414</v>
      </c>
      <c r="D10" s="733">
        <f t="shared" si="1"/>
        <v>10000</v>
      </c>
      <c r="E10" s="733">
        <f t="shared" ref="E10" si="2">SUM(E11:E13)</f>
        <v>0</v>
      </c>
    </row>
    <row r="11" spans="1:12" s="34" customFormat="1" ht="33" customHeight="1">
      <c r="A11" s="95" t="s">
        <v>195</v>
      </c>
      <c r="B11" s="734">
        <f>'3'!C116+'4'!C52+'5'!C5</f>
        <v>497114</v>
      </c>
      <c r="C11" s="734">
        <f>'3'!D116+'4'!D52+'5'!D5</f>
        <v>497114</v>
      </c>
      <c r="D11" s="734">
        <f>'3'!E116+'4'!E52+'5'!E5</f>
        <v>0</v>
      </c>
      <c r="E11" s="734">
        <f>'3'!F116+'4'!F88+'5'!F19</f>
        <v>0</v>
      </c>
    </row>
    <row r="12" spans="1:12" s="34" customFormat="1" ht="33" customHeight="1">
      <c r="A12" s="95" t="s">
        <v>205</v>
      </c>
      <c r="B12" s="734">
        <f>'3'!C119+'4'!C88+'5'!C19</f>
        <v>10000</v>
      </c>
      <c r="C12" s="734">
        <f>'3'!D119+'4'!D88+'5'!D19</f>
        <v>0</v>
      </c>
      <c r="D12" s="734">
        <f>'3'!E119+'4'!E88+'5'!E19</f>
        <v>10000</v>
      </c>
      <c r="E12" s="734">
        <f>'3'!F119+'4'!F88+'5'!F19</f>
        <v>0</v>
      </c>
    </row>
    <row r="13" spans="1:12" s="34" customFormat="1" ht="33" customHeight="1">
      <c r="A13" s="95" t="s">
        <v>207</v>
      </c>
      <c r="B13" s="734">
        <f>'3'!C121+'4'!C100+'5'!C21</f>
        <v>5300</v>
      </c>
      <c r="C13" s="734">
        <f>'3'!D121+'4'!D100+'5'!D21</f>
        <v>5300</v>
      </c>
      <c r="D13" s="734">
        <f>'3'!E121+'4'!E100+'5'!E21</f>
        <v>0</v>
      </c>
      <c r="E13" s="734">
        <f>'3'!F121+'4'!F100+'5'!F21</f>
        <v>0</v>
      </c>
    </row>
    <row r="14" spans="1:12" s="34" customFormat="1" ht="40.9" customHeight="1">
      <c r="A14" s="40" t="s">
        <v>17</v>
      </c>
      <c r="B14" s="733">
        <f>+B10+B4</f>
        <v>3229525</v>
      </c>
      <c r="C14" s="733">
        <f t="shared" ref="C14:E14" si="3">+C10+C4</f>
        <v>2921486</v>
      </c>
      <c r="D14" s="733">
        <f t="shared" si="3"/>
        <v>308039</v>
      </c>
      <c r="E14" s="733">
        <f t="shared" si="3"/>
        <v>0</v>
      </c>
    </row>
    <row r="15" spans="1:12" s="42" customFormat="1" ht="33" customHeight="1">
      <c r="A15" s="95" t="s">
        <v>269</v>
      </c>
      <c r="B15" s="738">
        <f>'4'!C108</f>
        <v>869721</v>
      </c>
      <c r="C15" s="738">
        <f>'4'!D108</f>
        <v>869721</v>
      </c>
      <c r="D15" s="738">
        <f>'3'!E123+'4'!E107+'5'!E23</f>
        <v>0</v>
      </c>
      <c r="E15" s="738">
        <f>'3'!F123+'4'!F107+'5'!F23</f>
        <v>0</v>
      </c>
    </row>
    <row r="16" spans="1:12" s="42" customFormat="1" ht="33" customHeight="1">
      <c r="A16" s="95" t="s">
        <v>683</v>
      </c>
      <c r="B16" s="994"/>
      <c r="C16" s="994"/>
      <c r="D16" s="994"/>
      <c r="E16" s="994"/>
    </row>
    <row r="17" spans="1:8" s="44" customFormat="1" ht="40.9" customHeight="1">
      <c r="A17" s="43" t="s">
        <v>963</v>
      </c>
      <c r="B17" s="733">
        <f>B14+B15+B16</f>
        <v>4099246</v>
      </c>
      <c r="C17" s="733">
        <f t="shared" ref="C17:D17" si="4">C14+C15+C16</f>
        <v>3791207</v>
      </c>
      <c r="D17" s="733">
        <f t="shared" si="4"/>
        <v>308039</v>
      </c>
      <c r="E17" s="733">
        <f t="shared" ref="E17" si="5">E14+E15</f>
        <v>0</v>
      </c>
      <c r="F17" s="42"/>
    </row>
    <row r="18" spans="1:8" s="46" customFormat="1" ht="33" customHeight="1">
      <c r="A18" s="45" t="s">
        <v>123</v>
      </c>
      <c r="B18" s="739">
        <f>B19+B20</f>
        <v>0</v>
      </c>
      <c r="C18" s="739">
        <v>0</v>
      </c>
      <c r="D18" s="739">
        <v>0</v>
      </c>
      <c r="E18" s="739">
        <v>0</v>
      </c>
      <c r="F18" s="42"/>
    </row>
    <row r="19" spans="1:8" s="34" customFormat="1" ht="22.9" customHeight="1">
      <c r="A19" s="98" t="s">
        <v>289</v>
      </c>
      <c r="B19" s="743">
        <f>'[1]4'!C114</f>
        <v>0</v>
      </c>
      <c r="C19" s="743">
        <v>0</v>
      </c>
      <c r="D19" s="743">
        <v>0</v>
      </c>
      <c r="E19" s="743">
        <v>0</v>
      </c>
      <c r="F19" s="42"/>
    </row>
    <row r="20" spans="1:8" s="34" customFormat="1" ht="22.9" customHeight="1">
      <c r="A20" s="97" t="s">
        <v>97</v>
      </c>
      <c r="B20" s="743">
        <f>'[1]4'!C113</f>
        <v>0</v>
      </c>
      <c r="C20" s="743">
        <v>0</v>
      </c>
      <c r="D20" s="743">
        <v>0</v>
      </c>
      <c r="E20" s="743"/>
      <c r="F20" s="42"/>
    </row>
    <row r="21" spans="1:8" s="34" customFormat="1" ht="40.9" customHeight="1" thickBot="1">
      <c r="A21" s="47" t="s">
        <v>19</v>
      </c>
      <c r="B21" s="48">
        <f>B17+B18</f>
        <v>4099246</v>
      </c>
      <c r="C21" s="48">
        <f t="shared" ref="C21:E21" si="6">C17+C18</f>
        <v>3791207</v>
      </c>
      <c r="D21" s="48">
        <f t="shared" si="6"/>
        <v>308039</v>
      </c>
      <c r="E21" s="48">
        <f t="shared" si="6"/>
        <v>0</v>
      </c>
      <c r="F21" s="42"/>
    </row>
    <row r="22" spans="1:8" s="51" customFormat="1" ht="40.9" customHeight="1" thickBot="1">
      <c r="A22" s="749" t="s">
        <v>76</v>
      </c>
      <c r="B22" s="750">
        <f>B14-B37</f>
        <v>-821103</v>
      </c>
      <c r="C22" s="104"/>
      <c r="D22" s="104"/>
      <c r="E22" s="104"/>
      <c r="F22" s="42"/>
    </row>
    <row r="23" spans="1:8" ht="28.5" customHeight="1">
      <c r="A23" s="52"/>
      <c r="F23" s="54"/>
      <c r="G23" s="93" t="s">
        <v>55</v>
      </c>
      <c r="H23" s="93"/>
    </row>
    <row r="24" spans="1:8" ht="41.25" customHeight="1">
      <c r="A24" s="1203" t="s">
        <v>671</v>
      </c>
      <c r="B24" s="1204"/>
      <c r="C24" s="1204"/>
      <c r="D24" s="1204"/>
      <c r="E24" s="1204"/>
      <c r="F24" s="1204"/>
    </row>
    <row r="25" spans="1:8" ht="21.75" thickBot="1">
      <c r="A25" s="967"/>
      <c r="B25" s="965"/>
      <c r="C25" s="965"/>
      <c r="D25" s="965"/>
      <c r="E25" s="965"/>
      <c r="F25" s="1059" t="s">
        <v>692</v>
      </c>
    </row>
    <row r="26" spans="1:8" ht="47.25">
      <c r="A26" s="29" t="s">
        <v>9</v>
      </c>
      <c r="B26" s="28" t="s">
        <v>148</v>
      </c>
      <c r="C26" s="29" t="s">
        <v>163</v>
      </c>
      <c r="D26" s="29" t="s">
        <v>164</v>
      </c>
      <c r="E26" s="30" t="s">
        <v>161</v>
      </c>
      <c r="F26" s="31" t="s">
        <v>84</v>
      </c>
      <c r="G26" s="55" t="s">
        <v>55</v>
      </c>
      <c r="H26" s="55"/>
    </row>
    <row r="27" spans="1:8" ht="28.5" customHeight="1">
      <c r="A27" s="732" t="s">
        <v>11</v>
      </c>
      <c r="B27" s="733">
        <f>SUM(B28:B32)</f>
        <v>3088266</v>
      </c>
      <c r="C27" s="733">
        <f t="shared" ref="C27:E27" si="7">SUM(C28:C32)</f>
        <v>2788361.25</v>
      </c>
      <c r="D27" s="733">
        <f t="shared" si="7"/>
        <v>299904.75</v>
      </c>
      <c r="E27" s="733">
        <f t="shared" si="7"/>
        <v>0</v>
      </c>
      <c r="F27" s="33">
        <f>B4-B27</f>
        <v>-371155</v>
      </c>
    </row>
    <row r="28" spans="1:8" ht="28.5" customHeight="1">
      <c r="A28" s="735" t="s">
        <v>6</v>
      </c>
      <c r="B28" s="736">
        <f>'6'!C147+'7'!C274+'8'!C32</f>
        <v>1032205.2</v>
      </c>
      <c r="C28" s="736">
        <f>'6'!D147+'7'!D274+'8'!D32</f>
        <v>1028753</v>
      </c>
      <c r="D28" s="736">
        <f>'6'!E147+'7'!E274+'8'!E32</f>
        <v>3452.2</v>
      </c>
      <c r="E28" s="736">
        <f>'6'!F147+'7'!F274+'8'!F32</f>
        <v>0</v>
      </c>
      <c r="F28" s="35">
        <v>0</v>
      </c>
    </row>
    <row r="29" spans="1:8" ht="31.5">
      <c r="A29" s="735" t="s">
        <v>162</v>
      </c>
      <c r="B29" s="736">
        <f>'6'!C148+'7'!C275+'8'!C33</f>
        <v>208894.8</v>
      </c>
      <c r="C29" s="736">
        <f>'6'!D148+'7'!D275+'8'!D33</f>
        <v>207402</v>
      </c>
      <c r="D29" s="736">
        <f>'6'!E148+'7'!E275+'8'!E33</f>
        <v>1492.8</v>
      </c>
      <c r="E29" s="736">
        <f>'6'!F148+'7'!F275+'8'!F33</f>
        <v>0</v>
      </c>
      <c r="F29" s="36">
        <v>0</v>
      </c>
    </row>
    <row r="30" spans="1:8" ht="28.5" customHeight="1">
      <c r="A30" s="735" t="s">
        <v>78</v>
      </c>
      <c r="B30" s="736">
        <f>'6'!C149+'7'!C276+'8'!C34</f>
        <v>925789</v>
      </c>
      <c r="C30" s="736">
        <f>'6'!D149+'7'!D276+'8'!D34</f>
        <v>737579.25</v>
      </c>
      <c r="D30" s="736">
        <f>'6'!E149+'7'!E276+'8'!E34</f>
        <v>188209.75</v>
      </c>
      <c r="E30" s="734">
        <v>0</v>
      </c>
      <c r="F30" s="36">
        <v>0</v>
      </c>
    </row>
    <row r="31" spans="1:8" ht="28.5" customHeight="1">
      <c r="A31" s="735" t="s">
        <v>7</v>
      </c>
      <c r="B31" s="736">
        <f>'6'!C150+'7'!C277+'8'!C35</f>
        <v>38700</v>
      </c>
      <c r="C31" s="736">
        <f>'6'!D150+'7'!D277+'8'!D35</f>
        <v>9500</v>
      </c>
      <c r="D31" s="736">
        <f>'6'!E150+'7'!E277+'8'!E35</f>
        <v>29200</v>
      </c>
      <c r="E31" s="736">
        <f>'6'!F150+'7'!F277+'8'!F35</f>
        <v>0</v>
      </c>
      <c r="F31" s="35">
        <v>0</v>
      </c>
    </row>
    <row r="32" spans="1:8" ht="28.5" customHeight="1">
      <c r="A32" s="735" t="s">
        <v>189</v>
      </c>
      <c r="B32" s="736">
        <f>'6'!C151+'7'!C278+'8'!C36</f>
        <v>882677</v>
      </c>
      <c r="C32" s="736">
        <f>'6'!D151+'7'!D278+'8'!D36</f>
        <v>805127</v>
      </c>
      <c r="D32" s="736">
        <f>'6'!E151+'7'!E278+'8'!E36</f>
        <v>77550</v>
      </c>
      <c r="E32" s="736">
        <f>'6'!F151+'7'!F278+'8'!F36</f>
        <v>0</v>
      </c>
      <c r="F32" s="39">
        <v>0</v>
      </c>
    </row>
    <row r="33" spans="1:6" ht="28.5" customHeight="1">
      <c r="A33" s="737" t="s">
        <v>15</v>
      </c>
      <c r="B33" s="733">
        <f>SUM(B34:B36)</f>
        <v>962362</v>
      </c>
      <c r="C33" s="733">
        <f t="shared" ref="C33:E33" si="8">SUM(C34:C36)</f>
        <v>766573</v>
      </c>
      <c r="D33" s="733">
        <f t="shared" si="8"/>
        <v>195789</v>
      </c>
      <c r="E33" s="733">
        <f t="shared" si="8"/>
        <v>0</v>
      </c>
      <c r="F33" s="94">
        <f>B10-B33</f>
        <v>-449948</v>
      </c>
    </row>
    <row r="34" spans="1:6" ht="28.5" customHeight="1">
      <c r="A34" s="735" t="s">
        <v>191</v>
      </c>
      <c r="B34" s="736">
        <f>'6'!C153+'7'!C280+'8'!C38</f>
        <v>669749</v>
      </c>
      <c r="C34" s="736">
        <f>'6'!D153+'7'!D280+'8'!D38</f>
        <v>660749</v>
      </c>
      <c r="D34" s="736">
        <f>'6'!E153+'7'!E280+'8'!E38</f>
        <v>9000</v>
      </c>
      <c r="E34" s="736">
        <f>'6'!F153+'8'!F104+'8'!F38</f>
        <v>0</v>
      </c>
      <c r="F34" s="41">
        <v>0</v>
      </c>
    </row>
    <row r="35" spans="1:6" ht="28.5" customHeight="1">
      <c r="A35" s="735" t="s">
        <v>16</v>
      </c>
      <c r="B35" s="736">
        <f>'6'!C154+'7'!C281+'8'!C39</f>
        <v>140824</v>
      </c>
      <c r="C35" s="736">
        <f>'6'!D154+'7'!D281+'8'!D39</f>
        <v>105824</v>
      </c>
      <c r="D35" s="736">
        <f>'6'!E154+'7'!E281+'8'!E39</f>
        <v>35000</v>
      </c>
      <c r="E35" s="734">
        <v>0</v>
      </c>
      <c r="F35" s="41">
        <v>0</v>
      </c>
    </row>
    <row r="36" spans="1:6" ht="28.5" customHeight="1">
      <c r="A36" s="735" t="s">
        <v>192</v>
      </c>
      <c r="B36" s="736">
        <f>'6'!C155+'7'!C282+'8'!C40</f>
        <v>151789</v>
      </c>
      <c r="C36" s="736">
        <f>'6'!D155+'7'!D282+'8'!D40</f>
        <v>0</v>
      </c>
      <c r="D36" s="736">
        <f>'6'!E155+'7'!E282+'8'!E40</f>
        <v>151789</v>
      </c>
      <c r="E36" s="734">
        <v>0</v>
      </c>
      <c r="F36" s="41">
        <v>0</v>
      </c>
    </row>
    <row r="37" spans="1:6" ht="28.5" customHeight="1">
      <c r="A37" s="737" t="s">
        <v>18</v>
      </c>
      <c r="B37" s="733">
        <f>SUM(B33+B27)</f>
        <v>4050628</v>
      </c>
      <c r="C37" s="733">
        <f t="shared" ref="C37:E37" si="9">SUM(C33+C27)</f>
        <v>3554934.25</v>
      </c>
      <c r="D37" s="733">
        <f t="shared" si="9"/>
        <v>495693.75</v>
      </c>
      <c r="E37" s="733">
        <f t="shared" si="9"/>
        <v>0</v>
      </c>
      <c r="F37" s="33">
        <f>F27+F33</f>
        <v>-821103</v>
      </c>
    </row>
    <row r="38" spans="1:6" ht="31.5">
      <c r="A38" s="735" t="s">
        <v>682</v>
      </c>
      <c r="B38" s="739">
        <f>'7'!C286</f>
        <v>48618</v>
      </c>
      <c r="C38" s="739">
        <f>'7'!D286</f>
        <v>48618</v>
      </c>
      <c r="D38" s="739">
        <v>0</v>
      </c>
      <c r="E38" s="739">
        <v>0</v>
      </c>
      <c r="F38" s="740">
        <f>B16-B38</f>
        <v>-48618</v>
      </c>
    </row>
    <row r="39" spans="1:6" ht="31.5">
      <c r="A39" s="741" t="s">
        <v>85</v>
      </c>
      <c r="B39" s="733">
        <f>B37+B38</f>
        <v>4099246</v>
      </c>
      <c r="C39" s="733">
        <f>C37+C38</f>
        <v>3603552.25</v>
      </c>
      <c r="D39" s="733">
        <f>D37+D38</f>
        <v>495693.75</v>
      </c>
      <c r="E39" s="733">
        <f>E37+E38</f>
        <v>0</v>
      </c>
      <c r="F39" s="33">
        <f>F37+F38</f>
        <v>-869721</v>
      </c>
    </row>
    <row r="40" spans="1:6" ht="28.5" customHeight="1">
      <c r="A40" s="742"/>
      <c r="B40" s="739">
        <v>0</v>
      </c>
      <c r="C40" s="739">
        <v>0</v>
      </c>
      <c r="D40" s="739">
        <v>0</v>
      </c>
      <c r="E40" s="739">
        <v>0</v>
      </c>
      <c r="F40" s="740">
        <v>0</v>
      </c>
    </row>
    <row r="41" spans="1:6" ht="28.5" customHeight="1">
      <c r="A41" s="744"/>
      <c r="B41" s="734">
        <v>0</v>
      </c>
      <c r="C41" s="734">
        <v>0</v>
      </c>
      <c r="D41" s="734">
        <v>0</v>
      </c>
      <c r="E41" s="734">
        <v>0</v>
      </c>
      <c r="F41" s="35">
        <v>0</v>
      </c>
    </row>
    <row r="42" spans="1:6" ht="28.5" customHeight="1">
      <c r="A42" s="745"/>
      <c r="B42" s="734">
        <v>0</v>
      </c>
      <c r="C42" s="734">
        <v>0</v>
      </c>
      <c r="D42" s="734">
        <v>0</v>
      </c>
      <c r="E42" s="734">
        <v>0</v>
      </c>
      <c r="F42" s="35">
        <v>0</v>
      </c>
    </row>
    <row r="43" spans="1:6" ht="28.5" customHeight="1" thickBot="1">
      <c r="A43" s="49" t="s">
        <v>20</v>
      </c>
      <c r="B43" s="48">
        <f>B39+B40</f>
        <v>4099246</v>
      </c>
      <c r="C43" s="48">
        <f t="shared" ref="C43:E43" si="10">C39+C40</f>
        <v>3603552.25</v>
      </c>
      <c r="D43" s="48">
        <f t="shared" si="10"/>
        <v>495693.75</v>
      </c>
      <c r="E43" s="48">
        <f t="shared" si="10"/>
        <v>0</v>
      </c>
      <c r="F43" s="50">
        <f>B21-B43</f>
        <v>0</v>
      </c>
    </row>
    <row r="44" spans="1:6" ht="28.5" customHeight="1" thickBot="1">
      <c r="A44" s="746"/>
      <c r="B44" s="747"/>
      <c r="C44" s="747"/>
      <c r="D44" s="747"/>
      <c r="E44" s="747"/>
      <c r="F44" s="748"/>
    </row>
  </sheetData>
  <mergeCells count="2">
    <mergeCell ref="A1:F1"/>
    <mergeCell ref="A24:F24"/>
  </mergeCells>
  <phoneticPr fontId="0" type="noConversion"/>
  <printOptions horizontalCentered="1"/>
  <pageMargins left="0.39370078740157483" right="0.39370078740157483" top="0.98425196850393704" bottom="0.39370078740157483" header="0.51181102362204722" footer="0.31496062992125984"/>
  <pageSetup paperSize="9" scale="64" orientation="landscape" r:id="rId1"/>
  <headerFooter alignWithMargins="0">
    <oddHeader>&amp;L&amp;"Arial,Dőlt" &amp;U2. melléklet a 2/2020. (II.14.) önkormányzati rendelethez</oddHeader>
    <oddFooter xml:space="preserve">&amp;C&amp;9 </oddFooter>
  </headerFooter>
  <rowBreaks count="1" manualBreakCount="1">
    <brk id="2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0"/>
  </sheetPr>
  <dimension ref="A1:N37"/>
  <sheetViews>
    <sheetView view="pageLayout" zoomScaleNormal="100" zoomScaleSheetLayoutView="100" workbookViewId="0">
      <selection activeCell="M3" sqref="M3"/>
    </sheetView>
  </sheetViews>
  <sheetFormatPr defaultColWidth="11.7109375" defaultRowHeight="15.75"/>
  <cols>
    <col min="1" max="1" width="51" style="56" customWidth="1"/>
    <col min="2" max="4" width="16.140625" style="53" customWidth="1"/>
    <col min="5" max="5" width="45" style="26" customWidth="1"/>
    <col min="6" max="6" width="17" style="26" bestFit="1" customWidth="1"/>
    <col min="7" max="8" width="16.140625" style="26" customWidth="1"/>
    <col min="9" max="16384" width="11.7109375" style="26"/>
  </cols>
  <sheetData>
    <row r="1" spans="1:14" ht="28.5" customHeight="1">
      <c r="A1" s="1204" t="s">
        <v>547</v>
      </c>
      <c r="B1" s="1204"/>
      <c r="C1" s="1204"/>
      <c r="D1" s="1204"/>
      <c r="E1" s="1204"/>
      <c r="F1" s="1204"/>
      <c r="G1" s="1204"/>
      <c r="H1" s="1204"/>
    </row>
    <row r="2" spans="1:14" ht="28.5" customHeight="1" thickBot="1">
      <c r="A2" s="372"/>
      <c r="B2" s="372"/>
      <c r="C2" s="372"/>
      <c r="D2" s="372"/>
      <c r="E2" s="372"/>
      <c r="F2" s="372"/>
      <c r="G2" s="372"/>
      <c r="H2" s="1073" t="s">
        <v>692</v>
      </c>
    </row>
    <row r="3" spans="1:14" ht="65.25" customHeight="1">
      <c r="A3" s="27" t="s">
        <v>8</v>
      </c>
      <c r="B3" s="28" t="s">
        <v>936</v>
      </c>
      <c r="C3" s="29" t="s">
        <v>937</v>
      </c>
      <c r="D3" s="29" t="s">
        <v>938</v>
      </c>
      <c r="E3" s="29" t="s">
        <v>9</v>
      </c>
      <c r="F3" s="28" t="s">
        <v>936</v>
      </c>
      <c r="G3" s="29" t="s">
        <v>937</v>
      </c>
      <c r="H3" s="29" t="s">
        <v>938</v>
      </c>
    </row>
    <row r="4" spans="1:14" s="34" customFormat="1" ht="40.9" customHeight="1">
      <c r="A4" s="32" t="s">
        <v>10</v>
      </c>
      <c r="B4" s="887">
        <f>SUM(B5:B8)</f>
        <v>3609005</v>
      </c>
      <c r="C4" s="887">
        <f>SUM(C5:C8)</f>
        <v>3113052</v>
      </c>
      <c r="D4" s="887">
        <f>'2'!B4</f>
        <v>2717111</v>
      </c>
      <c r="E4" s="732" t="s">
        <v>11</v>
      </c>
      <c r="F4" s="733">
        <f>SUM(F5:F9)</f>
        <v>2511770</v>
      </c>
      <c r="G4" s="733">
        <f>SUM(G5:G9)</f>
        <v>3303384</v>
      </c>
      <c r="H4" s="33">
        <f>'2'!B27</f>
        <v>3088266</v>
      </c>
    </row>
    <row r="5" spans="1:14" s="34" customFormat="1" ht="33" customHeight="1">
      <c r="A5" s="95" t="s">
        <v>194</v>
      </c>
      <c r="B5" s="888">
        <v>2017591</v>
      </c>
      <c r="C5" s="888">
        <v>1441809</v>
      </c>
      <c r="D5" s="888">
        <f>'2'!B5</f>
        <v>1261942</v>
      </c>
      <c r="E5" s="735" t="s">
        <v>6</v>
      </c>
      <c r="F5" s="736">
        <v>1025115</v>
      </c>
      <c r="G5" s="736">
        <v>1151730</v>
      </c>
      <c r="H5" s="885">
        <f>'2'!B28</f>
        <v>1032205.2</v>
      </c>
    </row>
    <row r="6" spans="1:14" s="37" customFormat="1" ht="33" customHeight="1">
      <c r="A6" s="95" t="s">
        <v>204</v>
      </c>
      <c r="B6" s="888">
        <v>1084724</v>
      </c>
      <c r="C6" s="888">
        <v>997000</v>
      </c>
      <c r="D6" s="888">
        <f>'2'!B6</f>
        <v>1028000</v>
      </c>
      <c r="E6" s="735" t="s">
        <v>162</v>
      </c>
      <c r="F6" s="736">
        <v>218910</v>
      </c>
      <c r="G6" s="736">
        <v>235689</v>
      </c>
      <c r="H6" s="885">
        <f>'2'!B29</f>
        <v>208894.8</v>
      </c>
    </row>
    <row r="7" spans="1:14" s="37" customFormat="1" ht="33" customHeight="1">
      <c r="A7" s="95" t="s">
        <v>12</v>
      </c>
      <c r="B7" s="888">
        <v>504946</v>
      </c>
      <c r="C7" s="888">
        <v>670657</v>
      </c>
      <c r="D7" s="888">
        <f>'2'!B7</f>
        <v>426949</v>
      </c>
      <c r="E7" s="735" t="s">
        <v>78</v>
      </c>
      <c r="F7" s="736">
        <v>1173163</v>
      </c>
      <c r="G7" s="736">
        <v>1389902</v>
      </c>
      <c r="H7" s="885">
        <f>'2'!B30</f>
        <v>925789</v>
      </c>
    </row>
    <row r="8" spans="1:14" s="34" customFormat="1" ht="33" customHeight="1">
      <c r="A8" s="95" t="s">
        <v>206</v>
      </c>
      <c r="B8" s="888">
        <v>1744</v>
      </c>
      <c r="C8" s="888">
        <v>3586</v>
      </c>
      <c r="D8" s="888">
        <f>'2'!B8</f>
        <v>220</v>
      </c>
      <c r="E8" s="735" t="s">
        <v>7</v>
      </c>
      <c r="F8" s="736">
        <v>31463</v>
      </c>
      <c r="G8" s="736">
        <v>41743</v>
      </c>
      <c r="H8" s="885">
        <f>'2'!B31</f>
        <v>38700</v>
      </c>
      <c r="N8" s="34">
        <v>45000</v>
      </c>
    </row>
    <row r="9" spans="1:14" s="38" customFormat="1" ht="33" customHeight="1">
      <c r="A9" s="96"/>
      <c r="B9" s="888"/>
      <c r="C9" s="888"/>
      <c r="D9" s="888">
        <v>0</v>
      </c>
      <c r="E9" s="735" t="s">
        <v>189</v>
      </c>
      <c r="F9" s="736">
        <v>63119</v>
      </c>
      <c r="G9" s="736">
        <v>484320</v>
      </c>
      <c r="H9" s="885">
        <f>'2'!B32</f>
        <v>882677</v>
      </c>
    </row>
    <row r="10" spans="1:14" s="34" customFormat="1" ht="40.9" customHeight="1">
      <c r="A10" s="40" t="s">
        <v>14</v>
      </c>
      <c r="B10" s="889">
        <f>SUM(B11:B13)</f>
        <v>125610</v>
      </c>
      <c r="C10" s="889">
        <f>SUM(C11:C13)</f>
        <v>410756</v>
      </c>
      <c r="D10" s="889">
        <f>'2'!B10</f>
        <v>512414</v>
      </c>
      <c r="E10" s="737" t="s">
        <v>15</v>
      </c>
      <c r="F10" s="733">
        <f>SUM(F11:F13)</f>
        <v>1508181</v>
      </c>
      <c r="G10" s="733">
        <f>SUM(G11:G13)</f>
        <v>1486177</v>
      </c>
      <c r="H10" s="733">
        <f>'2'!B33</f>
        <v>962362</v>
      </c>
    </row>
    <row r="11" spans="1:14" s="34" customFormat="1" ht="33" customHeight="1">
      <c r="A11" s="95" t="s">
        <v>195</v>
      </c>
      <c r="B11" s="888">
        <v>94256</v>
      </c>
      <c r="C11" s="888">
        <v>201957</v>
      </c>
      <c r="D11" s="888">
        <f>'2'!B11</f>
        <v>497114</v>
      </c>
      <c r="E11" s="735" t="s">
        <v>191</v>
      </c>
      <c r="F11" s="736">
        <v>877863</v>
      </c>
      <c r="G11" s="736">
        <v>1077893</v>
      </c>
      <c r="H11" s="885">
        <f>'2'!B34</f>
        <v>669749</v>
      </c>
    </row>
    <row r="12" spans="1:14" s="34" customFormat="1" ht="33" customHeight="1">
      <c r="A12" s="95" t="s">
        <v>205</v>
      </c>
      <c r="B12" s="888">
        <v>5743</v>
      </c>
      <c r="C12" s="888">
        <v>198693</v>
      </c>
      <c r="D12" s="888">
        <f>'2'!B12</f>
        <v>10000</v>
      </c>
      <c r="E12" s="735" t="s">
        <v>16</v>
      </c>
      <c r="F12" s="736">
        <v>622345</v>
      </c>
      <c r="G12" s="736">
        <v>202310</v>
      </c>
      <c r="H12" s="885">
        <f>'2'!B35</f>
        <v>140824</v>
      </c>
    </row>
    <row r="13" spans="1:14" s="34" customFormat="1" ht="33" customHeight="1">
      <c r="A13" s="95" t="s">
        <v>207</v>
      </c>
      <c r="B13" s="888">
        <v>25611</v>
      </c>
      <c r="C13" s="888">
        <v>10106</v>
      </c>
      <c r="D13" s="888">
        <f>'2'!B13</f>
        <v>5300</v>
      </c>
      <c r="E13" s="735" t="s">
        <v>192</v>
      </c>
      <c r="F13" s="736">
        <v>7973</v>
      </c>
      <c r="G13" s="736">
        <v>205974</v>
      </c>
      <c r="H13" s="885">
        <f>'2'!B36</f>
        <v>151789</v>
      </c>
    </row>
    <row r="14" spans="1:14" s="34" customFormat="1" ht="40.9" customHeight="1">
      <c r="A14" s="40" t="s">
        <v>17</v>
      </c>
      <c r="B14" s="889">
        <f>SUM(B4,B10)</f>
        <v>3734615</v>
      </c>
      <c r="C14" s="889">
        <f>SUM(C4,C10)</f>
        <v>3523808</v>
      </c>
      <c r="D14" s="889">
        <f>'2'!B14</f>
        <v>3229525</v>
      </c>
      <c r="E14" s="737" t="s">
        <v>18</v>
      </c>
      <c r="F14" s="733">
        <f>SUM(F4,F10)</f>
        <v>4019951</v>
      </c>
      <c r="G14" s="733">
        <f>SUM(G4,G10)</f>
        <v>4789561</v>
      </c>
      <c r="H14" s="733">
        <f>'2'!B37</f>
        <v>4050628</v>
      </c>
    </row>
    <row r="15" spans="1:14" s="42" customFormat="1" ht="33" customHeight="1">
      <c r="A15" s="95" t="s">
        <v>269</v>
      </c>
      <c r="B15" s="890">
        <v>1593669</v>
      </c>
      <c r="C15" s="890">
        <v>1309619</v>
      </c>
      <c r="D15" s="890">
        <f>'2'!B15</f>
        <v>869721</v>
      </c>
      <c r="E15" s="735" t="s">
        <v>83</v>
      </c>
      <c r="F15" s="739"/>
      <c r="G15" s="739"/>
      <c r="H15" s="740">
        <v>48618</v>
      </c>
    </row>
    <row r="16" spans="1:14" s="44" customFormat="1" ht="40.9" customHeight="1">
      <c r="A16" s="43" t="s">
        <v>963</v>
      </c>
      <c r="B16" s="889">
        <f>B14+B15</f>
        <v>5328284</v>
      </c>
      <c r="C16" s="889">
        <f>C14+C15</f>
        <v>4833427</v>
      </c>
      <c r="D16" s="889">
        <f>'2'!B17</f>
        <v>4099246</v>
      </c>
      <c r="E16" s="741" t="s">
        <v>85</v>
      </c>
      <c r="F16" s="733">
        <f>F14+F15</f>
        <v>4019951</v>
      </c>
      <c r="G16" s="733">
        <f>G14+G15</f>
        <v>4789561</v>
      </c>
      <c r="H16" s="33">
        <f>'2'!B39</f>
        <v>4099246</v>
      </c>
    </row>
    <row r="17" spans="1:8" s="46" customFormat="1" ht="33" customHeight="1">
      <c r="A17" s="45" t="s">
        <v>123</v>
      </c>
      <c r="B17" s="891">
        <f>B18+B19+B20</f>
        <v>55315</v>
      </c>
      <c r="C17" s="891">
        <f>C18+C19+C20</f>
        <v>58100</v>
      </c>
      <c r="D17" s="891">
        <v>0</v>
      </c>
      <c r="E17" s="898" t="s">
        <v>544</v>
      </c>
      <c r="F17" s="904">
        <v>54029</v>
      </c>
      <c r="G17" s="904">
        <v>101966</v>
      </c>
      <c r="H17" s="740">
        <v>0</v>
      </c>
    </row>
    <row r="18" spans="1:8" s="34" customFormat="1" ht="22.9" customHeight="1">
      <c r="A18" s="98" t="s">
        <v>265</v>
      </c>
      <c r="B18" s="892"/>
      <c r="C18" s="893"/>
      <c r="D18" s="893">
        <v>0</v>
      </c>
      <c r="E18" s="744" t="s">
        <v>545</v>
      </c>
      <c r="F18" s="734">
        <v>0</v>
      </c>
      <c r="G18" s="734"/>
      <c r="H18" s="35">
        <v>0</v>
      </c>
    </row>
    <row r="19" spans="1:8" s="34" customFormat="1" ht="22.9" customHeight="1">
      <c r="A19" s="97" t="s">
        <v>543</v>
      </c>
      <c r="B19" s="894">
        <v>55315</v>
      </c>
      <c r="C19" s="893">
        <v>58100</v>
      </c>
      <c r="D19" s="893">
        <v>0</v>
      </c>
      <c r="E19" s="745"/>
      <c r="F19" s="734"/>
      <c r="G19" s="734"/>
      <c r="H19" s="35">
        <v>0</v>
      </c>
    </row>
    <row r="20" spans="1:8" s="34" customFormat="1" ht="22.9" customHeight="1">
      <c r="A20" s="899" t="s">
        <v>546</v>
      </c>
      <c r="B20" s="894">
        <v>0</v>
      </c>
      <c r="C20" s="900">
        <v>0</v>
      </c>
      <c r="D20" s="900"/>
      <c r="E20" s="901"/>
      <c r="F20" s="902"/>
      <c r="G20" s="902"/>
      <c r="H20" s="903"/>
    </row>
    <row r="21" spans="1:8" s="34" customFormat="1" ht="40.9" customHeight="1" thickBot="1">
      <c r="A21" s="47" t="s">
        <v>19</v>
      </c>
      <c r="B21" s="895">
        <f>B16+B17</f>
        <v>5383599</v>
      </c>
      <c r="C21" s="895">
        <f>C16+C17</f>
        <v>4891527</v>
      </c>
      <c r="D21" s="896">
        <f>D16</f>
        <v>4099246</v>
      </c>
      <c r="E21" s="49" t="s">
        <v>20</v>
      </c>
      <c r="F21" s="48">
        <f>F16+F17+F18</f>
        <v>4073980</v>
      </c>
      <c r="G21" s="48">
        <f>G16+G17+G18</f>
        <v>4891527</v>
      </c>
      <c r="H21" s="886">
        <f>'2'!B43</f>
        <v>4099246</v>
      </c>
    </row>
    <row r="22" spans="1:8" s="51" customFormat="1" ht="40.9" customHeight="1" thickBot="1">
      <c r="A22" s="749" t="s">
        <v>76</v>
      </c>
      <c r="B22" s="897">
        <f>B14-F14</f>
        <v>-285336</v>
      </c>
      <c r="C22" s="897">
        <f>C14-G14</f>
        <v>-1265753</v>
      </c>
      <c r="D22" s="897">
        <f>D14-H14</f>
        <v>-821103</v>
      </c>
      <c r="E22" s="882"/>
      <c r="F22" s="883"/>
      <c r="G22" s="883"/>
      <c r="H22" s="884"/>
    </row>
    <row r="23" spans="1:8" ht="28.5" customHeight="1">
      <c r="A23" s="52"/>
      <c r="E23" s="54"/>
      <c r="F23" s="93" t="s">
        <v>55</v>
      </c>
      <c r="G23" s="93"/>
    </row>
    <row r="24" spans="1:8" ht="28.5" customHeight="1">
      <c r="B24" s="53" t="s">
        <v>55</v>
      </c>
      <c r="E24" s="93"/>
    </row>
    <row r="25" spans="1:8" ht="28.5" customHeight="1">
      <c r="F25" s="55" t="s">
        <v>55</v>
      </c>
      <c r="G25" s="55"/>
    </row>
    <row r="26" spans="1:8" ht="28.5" customHeight="1">
      <c r="B26" s="53" t="s">
        <v>55</v>
      </c>
    </row>
    <row r="32" spans="1:8" ht="28.5" customHeight="1">
      <c r="A32" s="26"/>
      <c r="B32" s="26"/>
      <c r="C32" s="26"/>
      <c r="D32" s="26"/>
    </row>
    <row r="33" spans="1:4" ht="28.5" customHeight="1">
      <c r="A33" s="26"/>
      <c r="B33" s="26"/>
      <c r="C33" s="26"/>
      <c r="D33" s="26"/>
    </row>
    <row r="34" spans="1:4" ht="28.5" customHeight="1">
      <c r="A34" s="26"/>
      <c r="B34" s="26"/>
      <c r="C34" s="26"/>
      <c r="D34" s="26"/>
    </row>
    <row r="35" spans="1:4" ht="28.5" customHeight="1">
      <c r="A35" s="26"/>
      <c r="B35" s="26"/>
      <c r="C35" s="26"/>
      <c r="D35" s="26"/>
    </row>
    <row r="37" spans="1:4" ht="28.5" customHeight="1">
      <c r="A37" s="26"/>
      <c r="B37" s="26"/>
      <c r="C37" s="26"/>
      <c r="D37" s="26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&amp;L5. számú tájékoztató tábla a 2/2020. (II.14.)önkormányzati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0"/>
  </sheetPr>
  <dimension ref="A1:J207"/>
  <sheetViews>
    <sheetView tabSelected="1" view="pageLayout" zoomScaleNormal="100" zoomScaleSheetLayoutView="100" workbookViewId="0">
      <selection activeCell="B4" sqref="B4"/>
    </sheetView>
  </sheetViews>
  <sheetFormatPr defaultColWidth="9.140625" defaultRowHeight="15"/>
  <cols>
    <col min="1" max="1" width="7.5703125" style="112" customWidth="1"/>
    <col min="2" max="2" width="53.140625" style="694" customWidth="1"/>
    <col min="3" max="3" width="20.7109375" style="75" customWidth="1"/>
    <col min="4" max="4" width="20.5703125" style="22" bestFit="1" customWidth="1"/>
    <col min="5" max="5" width="13.42578125" style="75" bestFit="1" customWidth="1"/>
    <col min="6" max="6" width="12.85546875" style="22" customWidth="1"/>
    <col min="7" max="7" width="15.7109375" style="14" bestFit="1" customWidth="1"/>
    <col min="8" max="16384" width="9.140625" style="14"/>
  </cols>
  <sheetData>
    <row r="1" spans="1:7" ht="35.25" customHeight="1" thickBot="1">
      <c r="A1" s="1236" t="s">
        <v>515</v>
      </c>
      <c r="B1" s="1236"/>
      <c r="C1" s="1236"/>
      <c r="D1" s="1236"/>
      <c r="E1" s="1236"/>
      <c r="F1" s="1236"/>
    </row>
    <row r="2" spans="1:7" s="76" customFormat="1" ht="33" customHeight="1" thickBot="1">
      <c r="A2" s="116" t="s">
        <v>82</v>
      </c>
      <c r="B2" s="1194" t="s">
        <v>65</v>
      </c>
      <c r="C2" s="117" t="s">
        <v>148</v>
      </c>
      <c r="D2" s="118" t="s">
        <v>165</v>
      </c>
      <c r="E2" s="118" t="s">
        <v>166</v>
      </c>
      <c r="F2" s="492" t="s">
        <v>161</v>
      </c>
      <c r="G2" s="80"/>
    </row>
    <row r="3" spans="1:7" s="77" customFormat="1" ht="37.5" customHeight="1" thickBot="1">
      <c r="A3" s="127" t="s">
        <v>196</v>
      </c>
      <c r="B3" s="128" t="s">
        <v>964</v>
      </c>
      <c r="C3" s="129">
        <f>C4+C46</f>
        <v>1261941916</v>
      </c>
      <c r="D3" s="129">
        <f>D4+D46</f>
        <v>1261941916</v>
      </c>
      <c r="E3" s="129">
        <f>E4+E46</f>
        <v>0</v>
      </c>
      <c r="F3" s="494">
        <f>F4+F46</f>
        <v>0</v>
      </c>
      <c r="G3" s="968">
        <f t="shared" ref="G3:G5" si="0">C3-D3</f>
        <v>0</v>
      </c>
    </row>
    <row r="4" spans="1:7" s="79" customFormat="1" ht="33" customHeight="1">
      <c r="A4" s="672" t="s">
        <v>214</v>
      </c>
      <c r="B4" s="673" t="s">
        <v>355</v>
      </c>
      <c r="C4" s="674">
        <f>C5+C16+C21+C40+C43</f>
        <v>1234718916</v>
      </c>
      <c r="D4" s="674">
        <f>D5+D16+D21+D40+D43</f>
        <v>1234718916</v>
      </c>
      <c r="E4" s="674">
        <f>E5+E16+E21+E40+E43</f>
        <v>0</v>
      </c>
      <c r="F4" s="675">
        <f>F5+F16+F21+F40+F43</f>
        <v>0</v>
      </c>
      <c r="G4" s="968">
        <f t="shared" si="0"/>
        <v>0</v>
      </c>
    </row>
    <row r="5" spans="1:7" s="80" customFormat="1" ht="33" customHeight="1">
      <c r="A5" s="676" t="s">
        <v>215</v>
      </c>
      <c r="B5" s="764" t="s">
        <v>216</v>
      </c>
      <c r="C5" s="765">
        <f>SUM(C6:C15)</f>
        <v>366467336</v>
      </c>
      <c r="D5" s="677">
        <f>SUM(D6:D15)</f>
        <v>366467336</v>
      </c>
      <c r="E5" s="765">
        <f>SUM(E6:E15)</f>
        <v>0</v>
      </c>
      <c r="F5" s="678">
        <f>SUM(F6:F15)</f>
        <v>0</v>
      </c>
      <c r="G5" s="968">
        <f t="shared" si="0"/>
        <v>0</v>
      </c>
    </row>
    <row r="6" spans="1:7" s="79" customFormat="1" ht="18" customHeight="1">
      <c r="A6" s="679"/>
      <c r="B6" s="728" t="s">
        <v>312</v>
      </c>
      <c r="C6" s="766">
        <v>214115000</v>
      </c>
      <c r="D6" s="766">
        <v>214115000</v>
      </c>
      <c r="E6" s="767">
        <v>0</v>
      </c>
      <c r="F6" s="680">
        <v>0</v>
      </c>
      <c r="G6" s="968">
        <f>C6-D6</f>
        <v>0</v>
      </c>
    </row>
    <row r="7" spans="1:7" s="79" customFormat="1" ht="31.5" customHeight="1">
      <c r="A7" s="681"/>
      <c r="B7" s="728" t="s">
        <v>150</v>
      </c>
      <c r="C7" s="766"/>
      <c r="D7" s="766"/>
      <c r="E7" s="767">
        <v>0</v>
      </c>
      <c r="F7" s="680">
        <v>0</v>
      </c>
      <c r="G7" s="968">
        <f t="shared" ref="G7:G42" si="1">C7-D7</f>
        <v>0</v>
      </c>
    </row>
    <row r="8" spans="1:7" s="79" customFormat="1" ht="18" customHeight="1">
      <c r="A8" s="681"/>
      <c r="B8" s="728" t="s">
        <v>151</v>
      </c>
      <c r="C8" s="768">
        <v>114736586</v>
      </c>
      <c r="D8" s="768">
        <f>C8</f>
        <v>114736586</v>
      </c>
      <c r="E8" s="767">
        <v>0</v>
      </c>
      <c r="F8" s="680">
        <v>0</v>
      </c>
      <c r="G8" s="968">
        <f t="shared" si="1"/>
        <v>0</v>
      </c>
    </row>
    <row r="9" spans="1:7" s="79" customFormat="1" ht="18" customHeight="1">
      <c r="A9" s="681"/>
      <c r="B9" s="728" t="s">
        <v>518</v>
      </c>
      <c r="C9" s="768"/>
      <c r="D9" s="768"/>
      <c r="E9" s="767">
        <v>0</v>
      </c>
      <c r="F9" s="680">
        <v>0</v>
      </c>
      <c r="G9" s="968">
        <f t="shared" si="1"/>
        <v>0</v>
      </c>
    </row>
    <row r="10" spans="1:7" s="79" customFormat="1" ht="18" customHeight="1">
      <c r="A10" s="681"/>
      <c r="B10" s="728" t="s">
        <v>313</v>
      </c>
      <c r="C10" s="769">
        <v>35821850</v>
      </c>
      <c r="D10" s="769">
        <f>C10</f>
        <v>35821850</v>
      </c>
      <c r="E10" s="767">
        <v>0</v>
      </c>
      <c r="F10" s="680">
        <v>0</v>
      </c>
      <c r="G10" s="968">
        <f t="shared" si="1"/>
        <v>0</v>
      </c>
    </row>
    <row r="11" spans="1:7" s="79" customFormat="1" ht="18" customHeight="1">
      <c r="A11" s="681"/>
      <c r="B11" s="728" t="s">
        <v>314</v>
      </c>
      <c r="C11" s="766"/>
      <c r="D11" s="766"/>
      <c r="E11" s="767">
        <v>0</v>
      </c>
      <c r="F11" s="680">
        <v>0</v>
      </c>
      <c r="G11" s="968">
        <f t="shared" si="1"/>
        <v>0</v>
      </c>
    </row>
    <row r="12" spans="1:7" s="79" customFormat="1" ht="18" customHeight="1">
      <c r="A12" s="681"/>
      <c r="B12" s="728" t="s">
        <v>296</v>
      </c>
      <c r="C12" s="682"/>
      <c r="D12" s="682"/>
      <c r="E12" s="683">
        <v>0</v>
      </c>
      <c r="F12" s="680">
        <v>0</v>
      </c>
      <c r="G12" s="968">
        <f t="shared" si="1"/>
        <v>0</v>
      </c>
    </row>
    <row r="13" spans="1:7" s="79" customFormat="1" ht="18" customHeight="1">
      <c r="A13" s="681"/>
      <c r="B13" s="728" t="s">
        <v>356</v>
      </c>
      <c r="C13" s="682"/>
      <c r="D13" s="682"/>
      <c r="E13" s="683">
        <v>0</v>
      </c>
      <c r="F13" s="680">
        <v>0</v>
      </c>
      <c r="G13" s="968">
        <f t="shared" si="1"/>
        <v>0</v>
      </c>
    </row>
    <row r="14" spans="1:7" s="79" customFormat="1" ht="18" customHeight="1">
      <c r="A14" s="681"/>
      <c r="B14" s="728" t="s">
        <v>673</v>
      </c>
      <c r="C14" s="682"/>
      <c r="D14" s="682"/>
      <c r="E14" s="683">
        <v>0</v>
      </c>
      <c r="F14" s="680">
        <v>0</v>
      </c>
      <c r="G14" s="968">
        <f t="shared" si="1"/>
        <v>0</v>
      </c>
    </row>
    <row r="15" spans="1:7" s="79" customFormat="1" ht="18" customHeight="1">
      <c r="A15" s="672"/>
      <c r="B15" s="728" t="s">
        <v>548</v>
      </c>
      <c r="C15" s="682">
        <v>1793900</v>
      </c>
      <c r="D15" s="682">
        <v>1793900</v>
      </c>
      <c r="E15" s="683">
        <v>0</v>
      </c>
      <c r="F15" s="680">
        <v>0</v>
      </c>
      <c r="G15" s="968">
        <f t="shared" si="1"/>
        <v>0</v>
      </c>
    </row>
    <row r="16" spans="1:7" s="79" customFormat="1" ht="33" customHeight="1">
      <c r="A16" s="676" t="s">
        <v>250</v>
      </c>
      <c r="B16" s="764" t="s">
        <v>311</v>
      </c>
      <c r="C16" s="684">
        <f>SUM(C17:C20)</f>
        <v>380341800</v>
      </c>
      <c r="D16" s="684">
        <f>SUM(D17:D20)</f>
        <v>380341800</v>
      </c>
      <c r="E16" s="684">
        <f>SUM(E17:E20)</f>
        <v>0</v>
      </c>
      <c r="F16" s="678">
        <f>SUM(F17:F20)</f>
        <v>0</v>
      </c>
      <c r="G16" s="968">
        <f t="shared" si="1"/>
        <v>0</v>
      </c>
    </row>
    <row r="17" spans="1:7" s="81" customFormat="1" ht="30" customHeight="1">
      <c r="A17" s="679"/>
      <c r="B17" s="728" t="s">
        <v>315</v>
      </c>
      <c r="C17" s="671">
        <v>313940900</v>
      </c>
      <c r="D17" s="671">
        <f>C17</f>
        <v>313940900</v>
      </c>
      <c r="E17" s="767">
        <v>0</v>
      </c>
      <c r="F17" s="680">
        <v>0</v>
      </c>
      <c r="G17" s="968">
        <f t="shared" si="1"/>
        <v>0</v>
      </c>
    </row>
    <row r="18" spans="1:7" s="81" customFormat="1" ht="18" customHeight="1">
      <c r="A18" s="681"/>
      <c r="B18" s="728" t="s">
        <v>316</v>
      </c>
      <c r="C18" s="671">
        <v>60193200</v>
      </c>
      <c r="D18" s="671">
        <f>C18</f>
        <v>60193200</v>
      </c>
      <c r="E18" s="767">
        <v>0</v>
      </c>
      <c r="F18" s="680">
        <v>0</v>
      </c>
      <c r="G18" s="968">
        <f t="shared" si="1"/>
        <v>0</v>
      </c>
    </row>
    <row r="19" spans="1:7" s="81" customFormat="1" ht="29.25" customHeight="1">
      <c r="A19" s="681"/>
      <c r="B19" s="728" t="s">
        <v>375</v>
      </c>
      <c r="C19" s="671"/>
      <c r="D19" s="671"/>
      <c r="E19" s="683">
        <v>0</v>
      </c>
      <c r="F19" s="680">
        <v>0</v>
      </c>
      <c r="G19" s="968">
        <f t="shared" si="1"/>
        <v>0</v>
      </c>
    </row>
    <row r="20" spans="1:7" s="81" customFormat="1" ht="30" customHeight="1">
      <c r="A20" s="672"/>
      <c r="B20" s="728" t="s">
        <v>351</v>
      </c>
      <c r="C20" s="671">
        <v>6207700</v>
      </c>
      <c r="D20" s="671">
        <f>C20</f>
        <v>6207700</v>
      </c>
      <c r="E20" s="683">
        <v>0</v>
      </c>
      <c r="F20" s="680">
        <v>0</v>
      </c>
      <c r="G20" s="968">
        <f t="shared" si="1"/>
        <v>0</v>
      </c>
    </row>
    <row r="21" spans="1:7" s="81" customFormat="1" ht="33" customHeight="1">
      <c r="A21" s="676" t="s">
        <v>251</v>
      </c>
      <c r="B21" s="764" t="s">
        <v>295</v>
      </c>
      <c r="C21" s="684">
        <f>SUM(C22:C39)</f>
        <v>438808179</v>
      </c>
      <c r="D21" s="684">
        <f>SUM(D22:D39)</f>
        <v>438808179</v>
      </c>
      <c r="E21" s="684">
        <f>SUM(E22:E39)</f>
        <v>0</v>
      </c>
      <c r="F21" s="678">
        <f>SUM(F22:F39)</f>
        <v>0</v>
      </c>
      <c r="G21" s="968">
        <f t="shared" si="1"/>
        <v>0</v>
      </c>
    </row>
    <row r="22" spans="1:7" s="81" customFormat="1" ht="30" customHeight="1">
      <c r="A22" s="681"/>
      <c r="B22" s="770" t="s">
        <v>372</v>
      </c>
      <c r="C22" s="671">
        <v>88607121</v>
      </c>
      <c r="D22" s="671">
        <f>C22</f>
        <v>88607121</v>
      </c>
      <c r="E22" s="684">
        <v>0</v>
      </c>
      <c r="F22" s="678">
        <v>0</v>
      </c>
      <c r="G22" s="968">
        <f t="shared" si="1"/>
        <v>0</v>
      </c>
    </row>
    <row r="23" spans="1:7" s="79" customFormat="1" ht="18" customHeight="1">
      <c r="A23" s="681"/>
      <c r="B23" s="728" t="s">
        <v>376</v>
      </c>
      <c r="C23" s="671">
        <v>10200000</v>
      </c>
      <c r="D23" s="671">
        <v>10200000</v>
      </c>
      <c r="E23" s="767">
        <v>0</v>
      </c>
      <c r="F23" s="680">
        <v>0</v>
      </c>
      <c r="G23" s="968">
        <f t="shared" si="1"/>
        <v>0</v>
      </c>
    </row>
    <row r="24" spans="1:7" s="79" customFormat="1" ht="18" customHeight="1">
      <c r="A24" s="681"/>
      <c r="B24" s="728" t="s">
        <v>377</v>
      </c>
      <c r="C24" s="671">
        <v>17160000</v>
      </c>
      <c r="D24" s="671">
        <v>17160000</v>
      </c>
      <c r="E24" s="767">
        <v>0</v>
      </c>
      <c r="F24" s="680">
        <v>0</v>
      </c>
      <c r="G24" s="968">
        <f t="shared" si="1"/>
        <v>0</v>
      </c>
    </row>
    <row r="25" spans="1:7" s="79" customFormat="1" ht="18" customHeight="1">
      <c r="A25" s="681"/>
      <c r="B25" s="728" t="s">
        <v>153</v>
      </c>
      <c r="C25" s="671">
        <v>4509840</v>
      </c>
      <c r="D25" s="671">
        <v>4509840</v>
      </c>
      <c r="E25" s="767">
        <v>0</v>
      </c>
      <c r="F25" s="680">
        <v>0</v>
      </c>
      <c r="G25" s="968">
        <f t="shared" si="1"/>
        <v>0</v>
      </c>
    </row>
    <row r="26" spans="1:7" s="82" customFormat="1" ht="18" customHeight="1">
      <c r="A26" s="681"/>
      <c r="B26" s="728" t="s">
        <v>154</v>
      </c>
      <c r="C26" s="671">
        <v>14215000</v>
      </c>
      <c r="D26" s="671">
        <v>14215000</v>
      </c>
      <c r="E26" s="767">
        <v>0</v>
      </c>
      <c r="F26" s="680">
        <v>0</v>
      </c>
      <c r="G26" s="968">
        <f t="shared" si="1"/>
        <v>0</v>
      </c>
    </row>
    <row r="27" spans="1:7" s="82" customFormat="1" ht="18" customHeight="1">
      <c r="A27" s="681"/>
      <c r="B27" s="728" t="s">
        <v>155</v>
      </c>
      <c r="C27" s="671">
        <v>2850000</v>
      </c>
      <c r="D27" s="671">
        <v>2850000</v>
      </c>
      <c r="E27" s="767">
        <v>0</v>
      </c>
      <c r="F27" s="680">
        <v>0</v>
      </c>
      <c r="G27" s="968">
        <f t="shared" si="1"/>
        <v>0</v>
      </c>
    </row>
    <row r="28" spans="1:7" s="82" customFormat="1" ht="18" customHeight="1">
      <c r="A28" s="681"/>
      <c r="B28" s="728" t="s">
        <v>156</v>
      </c>
      <c r="C28" s="766">
        <v>7579000</v>
      </c>
      <c r="D28" s="766">
        <v>7579000</v>
      </c>
      <c r="E28" s="767">
        <v>0</v>
      </c>
      <c r="F28" s="680">
        <v>0</v>
      </c>
      <c r="G28" s="968">
        <f t="shared" si="1"/>
        <v>0</v>
      </c>
    </row>
    <row r="29" spans="1:7" s="82" customFormat="1" ht="30" customHeight="1">
      <c r="A29" s="681"/>
      <c r="B29" s="728" t="s">
        <v>352</v>
      </c>
      <c r="C29" s="766">
        <v>2893800</v>
      </c>
      <c r="D29" s="766">
        <v>2893800</v>
      </c>
      <c r="E29" s="767">
        <v>0</v>
      </c>
      <c r="F29" s="680">
        <v>0</v>
      </c>
      <c r="G29" s="968">
        <f t="shared" si="1"/>
        <v>0</v>
      </c>
    </row>
    <row r="30" spans="1:7" s="82" customFormat="1" ht="30" customHeight="1">
      <c r="A30" s="681"/>
      <c r="B30" s="771" t="s">
        <v>516</v>
      </c>
      <c r="C30" s="671">
        <v>11665000</v>
      </c>
      <c r="D30" s="671">
        <v>11665000</v>
      </c>
      <c r="E30" s="767">
        <v>0</v>
      </c>
      <c r="F30" s="680">
        <v>0</v>
      </c>
      <c r="G30" s="968">
        <f t="shared" si="1"/>
        <v>0</v>
      </c>
    </row>
    <row r="31" spans="1:7" s="82" customFormat="1" ht="30" customHeight="1">
      <c r="A31" s="681"/>
      <c r="B31" s="771" t="s">
        <v>552</v>
      </c>
      <c r="C31" s="671">
        <v>27006280</v>
      </c>
      <c r="D31" s="671">
        <v>27006280</v>
      </c>
      <c r="E31" s="767">
        <v>0</v>
      </c>
      <c r="F31" s="680">
        <v>0</v>
      </c>
      <c r="G31" s="968">
        <f t="shared" si="1"/>
        <v>0</v>
      </c>
    </row>
    <row r="32" spans="1:7" s="82" customFormat="1" ht="30" customHeight="1">
      <c r="A32" s="681"/>
      <c r="B32" s="980" t="s">
        <v>675</v>
      </c>
      <c r="C32" s="981"/>
      <c r="D32" s="981"/>
      <c r="E32" s="982"/>
      <c r="F32" s="680"/>
      <c r="G32" s="968">
        <f t="shared" si="1"/>
        <v>0</v>
      </c>
    </row>
    <row r="33" spans="1:7" s="82" customFormat="1" ht="30" customHeight="1">
      <c r="A33" s="681"/>
      <c r="B33" s="771" t="s">
        <v>674</v>
      </c>
      <c r="C33" s="671">
        <v>15267474</v>
      </c>
      <c r="D33" s="671">
        <f>C33</f>
        <v>15267474</v>
      </c>
      <c r="E33" s="767"/>
      <c r="F33" s="680"/>
      <c r="G33" s="968"/>
    </row>
    <row r="34" spans="1:7" s="79" customFormat="1" ht="30.6" customHeight="1">
      <c r="A34" s="681"/>
      <c r="B34" s="728" t="s">
        <v>354</v>
      </c>
      <c r="C34" s="671">
        <v>63096000</v>
      </c>
      <c r="D34" s="671">
        <v>63096000</v>
      </c>
      <c r="E34" s="767">
        <v>0</v>
      </c>
      <c r="F34" s="680">
        <v>0</v>
      </c>
      <c r="G34" s="968">
        <f t="shared" si="1"/>
        <v>0</v>
      </c>
    </row>
    <row r="35" spans="1:7" s="79" customFormat="1" ht="19.149999999999999" customHeight="1">
      <c r="A35" s="681"/>
      <c r="B35" s="728" t="s">
        <v>353</v>
      </c>
      <c r="C35" s="671">
        <v>126645498</v>
      </c>
      <c r="D35" s="671">
        <v>126645498</v>
      </c>
      <c r="E35" s="767">
        <v>0</v>
      </c>
      <c r="F35" s="680">
        <v>0</v>
      </c>
      <c r="G35" s="968">
        <f t="shared" si="1"/>
        <v>0</v>
      </c>
    </row>
    <row r="36" spans="1:7" s="79" customFormat="1" ht="22.15" customHeight="1">
      <c r="A36" s="681"/>
      <c r="B36" s="728" t="s">
        <v>378</v>
      </c>
      <c r="C36" s="671">
        <v>2247966</v>
      </c>
      <c r="D36" s="671">
        <v>2247966</v>
      </c>
      <c r="E36" s="683"/>
      <c r="F36" s="680"/>
      <c r="G36" s="968">
        <f t="shared" si="1"/>
        <v>0</v>
      </c>
    </row>
    <row r="37" spans="1:7" s="79" customFormat="1" ht="42" customHeight="1">
      <c r="A37" s="681"/>
      <c r="B37" s="728" t="s">
        <v>551</v>
      </c>
      <c r="C37" s="682">
        <v>8838000</v>
      </c>
      <c r="D37" s="682">
        <v>8838000</v>
      </c>
      <c r="E37" s="767">
        <v>0</v>
      </c>
      <c r="F37" s="680">
        <v>0</v>
      </c>
      <c r="G37" s="968">
        <f t="shared" si="1"/>
        <v>0</v>
      </c>
    </row>
    <row r="38" spans="1:7" s="79" customFormat="1" ht="45" customHeight="1">
      <c r="A38" s="681"/>
      <c r="B38" s="728" t="s">
        <v>550</v>
      </c>
      <c r="C38" s="682">
        <v>25141200</v>
      </c>
      <c r="D38" s="682">
        <v>25141200</v>
      </c>
      <c r="E38" s="767"/>
      <c r="F38" s="680"/>
      <c r="G38" s="968">
        <f t="shared" si="1"/>
        <v>0</v>
      </c>
    </row>
    <row r="39" spans="1:7" s="79" customFormat="1" ht="23.45" customHeight="1">
      <c r="A39" s="681"/>
      <c r="B39" s="771" t="s">
        <v>549</v>
      </c>
      <c r="C39" s="671">
        <v>10886000</v>
      </c>
      <c r="D39" s="671">
        <v>10886000</v>
      </c>
      <c r="E39" s="767">
        <v>0</v>
      </c>
      <c r="F39" s="680">
        <v>0</v>
      </c>
      <c r="G39" s="968">
        <f t="shared" si="1"/>
        <v>0</v>
      </c>
    </row>
    <row r="40" spans="1:7" s="81" customFormat="1" ht="33" customHeight="1">
      <c r="A40" s="676" t="s">
        <v>252</v>
      </c>
      <c r="B40" s="764" t="s">
        <v>152</v>
      </c>
      <c r="C40" s="684">
        <f t="shared" ref="C40" si="2">SUM(C41:C42)</f>
        <v>49101601</v>
      </c>
      <c r="D40" s="684">
        <f t="shared" ref="D40:F40" si="3">SUM(D41:D42)</f>
        <v>49101601</v>
      </c>
      <c r="E40" s="684">
        <f t="shared" si="3"/>
        <v>0</v>
      </c>
      <c r="F40" s="678">
        <f t="shared" si="3"/>
        <v>0</v>
      </c>
      <c r="G40" s="968">
        <f t="shared" si="1"/>
        <v>0</v>
      </c>
    </row>
    <row r="41" spans="1:7" s="81" customFormat="1" ht="30" customHeight="1">
      <c r="A41" s="679"/>
      <c r="B41" s="728" t="s">
        <v>367</v>
      </c>
      <c r="C41" s="671">
        <v>29837601</v>
      </c>
      <c r="D41" s="671">
        <v>29837601</v>
      </c>
      <c r="E41" s="767">
        <v>0</v>
      </c>
      <c r="F41" s="680">
        <v>0</v>
      </c>
      <c r="G41" s="968">
        <f t="shared" si="1"/>
        <v>0</v>
      </c>
    </row>
    <row r="42" spans="1:7" s="81" customFormat="1" ht="30" customHeight="1">
      <c r="A42" s="672"/>
      <c r="B42" s="728" t="s">
        <v>309</v>
      </c>
      <c r="C42" s="671">
        <v>19264000</v>
      </c>
      <c r="D42" s="671">
        <v>19264000</v>
      </c>
      <c r="E42" s="767">
        <v>0</v>
      </c>
      <c r="F42" s="680">
        <v>0</v>
      </c>
      <c r="G42" s="968">
        <f t="shared" si="1"/>
        <v>0</v>
      </c>
    </row>
    <row r="43" spans="1:7" s="79" customFormat="1" ht="33" customHeight="1">
      <c r="A43" s="676" t="s">
        <v>253</v>
      </c>
      <c r="B43" s="764" t="s">
        <v>254</v>
      </c>
      <c r="C43" s="684">
        <f>SUM(C45:C45)</f>
        <v>0</v>
      </c>
      <c r="D43" s="684">
        <f t="shared" ref="D43:E43" si="4">SUM(D45:D45)</f>
        <v>0</v>
      </c>
      <c r="E43" s="684">
        <f t="shared" si="4"/>
        <v>0</v>
      </c>
      <c r="F43" s="678">
        <f>SUM(F45:F45)</f>
        <v>0</v>
      </c>
    </row>
    <row r="44" spans="1:7" s="79" customFormat="1">
      <c r="A44" s="676"/>
      <c r="B44" s="772" t="s">
        <v>672</v>
      </c>
      <c r="C44" s="1027"/>
      <c r="D44" s="1027"/>
      <c r="E44" s="1027"/>
      <c r="F44" s="678"/>
    </row>
    <row r="45" spans="1:7" s="81" customFormat="1" ht="18" customHeight="1">
      <c r="A45" s="685"/>
      <c r="B45" s="772" t="s">
        <v>317</v>
      </c>
      <c r="C45" s="671">
        <v>0</v>
      </c>
      <c r="D45" s="671">
        <v>0</v>
      </c>
      <c r="E45" s="773">
        <v>0</v>
      </c>
      <c r="F45" s="686">
        <v>0</v>
      </c>
    </row>
    <row r="46" spans="1:7" s="81" customFormat="1" ht="33" customHeight="1">
      <c r="A46" s="672" t="s">
        <v>255</v>
      </c>
      <c r="B46" s="673" t="s">
        <v>256</v>
      </c>
      <c r="C46" s="687">
        <f>SUM(C47:C52)</f>
        <v>27223000</v>
      </c>
      <c r="D46" s="687">
        <f>SUM(D47:D52)</f>
        <v>27223000</v>
      </c>
      <c r="E46" s="687">
        <f>SUM(E47:E52)</f>
        <v>0</v>
      </c>
      <c r="F46" s="678">
        <f>SUM(F47:F52)</f>
        <v>0</v>
      </c>
    </row>
    <row r="47" spans="1:7" s="79" customFormat="1" ht="17.45" customHeight="1">
      <c r="A47" s="688"/>
      <c r="B47" s="772" t="s">
        <v>519</v>
      </c>
      <c r="C47" s="671">
        <v>1533000</v>
      </c>
      <c r="D47" s="766">
        <f>C47</f>
        <v>1533000</v>
      </c>
      <c r="E47" s="671"/>
      <c r="F47" s="686">
        <v>0</v>
      </c>
    </row>
    <row r="48" spans="1:7" s="79" customFormat="1" ht="43.5" customHeight="1">
      <c r="A48" s="688"/>
      <c r="B48" s="772" t="s">
        <v>656</v>
      </c>
      <c r="C48" s="671">
        <v>4292000</v>
      </c>
      <c r="D48" s="766">
        <v>4292000</v>
      </c>
      <c r="E48" s="671"/>
      <c r="F48" s="686">
        <v>0</v>
      </c>
    </row>
    <row r="49" spans="1:6" s="79" customFormat="1" ht="17.25" customHeight="1">
      <c r="A49" s="688"/>
      <c r="B49" s="1028" t="s">
        <v>690</v>
      </c>
      <c r="C49" s="981">
        <v>12238000</v>
      </c>
      <c r="D49" s="1029">
        <v>12238000</v>
      </c>
      <c r="E49" s="981"/>
      <c r="F49" s="686"/>
    </row>
    <row r="50" spans="1:6" s="79" customFormat="1" ht="17.45" customHeight="1">
      <c r="A50" s="688"/>
      <c r="B50" s="772" t="s">
        <v>521</v>
      </c>
      <c r="C50" s="671">
        <v>2160000</v>
      </c>
      <c r="D50" s="766">
        <v>2160000</v>
      </c>
      <c r="E50" s="671"/>
      <c r="F50" s="686">
        <v>0</v>
      </c>
    </row>
    <row r="51" spans="1:6" s="79" customFormat="1" ht="17.45" customHeight="1">
      <c r="A51" s="688"/>
      <c r="B51" s="772" t="s">
        <v>520</v>
      </c>
      <c r="C51" s="671">
        <v>7000000</v>
      </c>
      <c r="D51" s="766">
        <v>7000000</v>
      </c>
      <c r="E51" s="671"/>
      <c r="F51" s="686">
        <v>0</v>
      </c>
    </row>
    <row r="52" spans="1:6" s="79" customFormat="1" ht="17.45" customHeight="1" thickBot="1">
      <c r="A52" s="688"/>
      <c r="B52" s="689" t="s">
        <v>522</v>
      </c>
      <c r="C52" s="690">
        <v>0</v>
      </c>
      <c r="D52" s="691">
        <v>0</v>
      </c>
      <c r="E52" s="690">
        <v>0</v>
      </c>
      <c r="F52" s="692">
        <v>0</v>
      </c>
    </row>
    <row r="53" spans="1:6" s="79" customFormat="1" ht="35.1" customHeight="1" thickBot="1">
      <c r="A53" s="127" t="s">
        <v>197</v>
      </c>
      <c r="B53" s="130" t="s">
        <v>970</v>
      </c>
      <c r="C53" s="131">
        <f>C54+C56</f>
        <v>0</v>
      </c>
      <c r="D53" s="131">
        <f t="shared" ref="D53:F53" si="5">D54+D56</f>
        <v>0</v>
      </c>
      <c r="E53" s="131">
        <f t="shared" si="5"/>
        <v>0</v>
      </c>
      <c r="F53" s="494">
        <f t="shared" si="5"/>
        <v>0</v>
      </c>
    </row>
    <row r="54" spans="1:6" s="79" customFormat="1" ht="20.100000000000001" customHeight="1">
      <c r="A54" s="119" t="s">
        <v>257</v>
      </c>
      <c r="B54" s="120" t="s">
        <v>258</v>
      </c>
      <c r="C54" s="111"/>
      <c r="D54" s="111">
        <v>0</v>
      </c>
      <c r="E54" s="111">
        <v>0</v>
      </c>
      <c r="F54" s="495">
        <v>0</v>
      </c>
    </row>
    <row r="55" spans="1:6" s="79" customFormat="1" ht="17.45" customHeight="1">
      <c r="A55" s="83"/>
      <c r="B55" s="774" t="s">
        <v>338</v>
      </c>
      <c r="C55" s="476">
        <v>0</v>
      </c>
      <c r="D55" s="775">
        <v>0</v>
      </c>
      <c r="E55" s="775">
        <v>0</v>
      </c>
      <c r="F55" s="472">
        <v>0</v>
      </c>
    </row>
    <row r="56" spans="1:6" s="79" customFormat="1" ht="28.5">
      <c r="A56" s="78" t="s">
        <v>259</v>
      </c>
      <c r="B56" s="776" t="s">
        <v>983</v>
      </c>
      <c r="C56" s="471">
        <f>SUM(C57:C57)</f>
        <v>0</v>
      </c>
      <c r="D56" s="471">
        <f>SUM(D57:D57)</f>
        <v>0</v>
      </c>
      <c r="E56" s="471">
        <f>SUM(E57:E57)</f>
        <v>0</v>
      </c>
      <c r="F56" s="464">
        <f>SUM(F57:F57)</f>
        <v>0</v>
      </c>
    </row>
    <row r="57" spans="1:6" s="79" customFormat="1" ht="15.75" thickBot="1">
      <c r="A57" s="784"/>
      <c r="B57" s="785"/>
      <c r="C57" s="786"/>
      <c r="D57" s="786"/>
      <c r="E57" s="787"/>
      <c r="F57" s="788"/>
    </row>
    <row r="58" spans="1:6" s="79" customFormat="1" ht="21" customHeight="1" thickBot="1">
      <c r="A58" s="127" t="s">
        <v>198</v>
      </c>
      <c r="B58" s="130" t="s">
        <v>209</v>
      </c>
      <c r="C58" s="131">
        <f>C59+C62+C66</f>
        <v>0</v>
      </c>
      <c r="D58" s="131">
        <f t="shared" ref="D58:F58" si="6">D59+D62+D66</f>
        <v>0</v>
      </c>
      <c r="E58" s="131">
        <f t="shared" si="6"/>
        <v>0</v>
      </c>
      <c r="F58" s="494">
        <f t="shared" si="6"/>
        <v>0</v>
      </c>
    </row>
    <row r="59" spans="1:6" s="79" customFormat="1" ht="20.100000000000001" customHeight="1">
      <c r="A59" s="119" t="s">
        <v>232</v>
      </c>
      <c r="B59" s="120" t="s">
        <v>233</v>
      </c>
      <c r="C59" s="111">
        <f>SUM(C60:C61)</f>
        <v>0</v>
      </c>
      <c r="D59" s="111">
        <f t="shared" ref="D59:F59" si="7">SUM(D60:D61)</f>
        <v>0</v>
      </c>
      <c r="E59" s="111">
        <f t="shared" si="7"/>
        <v>0</v>
      </c>
      <c r="F59" s="493">
        <f t="shared" si="7"/>
        <v>0</v>
      </c>
    </row>
    <row r="60" spans="1:6" s="79" customFormat="1" ht="17.45" customHeight="1">
      <c r="A60" s="473"/>
      <c r="B60" s="479" t="s">
        <v>72</v>
      </c>
      <c r="C60" s="476"/>
      <c r="D60" s="475"/>
      <c r="E60" s="476"/>
      <c r="F60" s="472">
        <v>0</v>
      </c>
    </row>
    <row r="61" spans="1:6" s="79" customFormat="1" ht="17.45" customHeight="1">
      <c r="A61" s="320"/>
      <c r="B61" s="479" t="s">
        <v>73</v>
      </c>
      <c r="C61" s="476"/>
      <c r="D61" s="475"/>
      <c r="E61" s="476"/>
      <c r="F61" s="472">
        <v>0</v>
      </c>
    </row>
    <row r="62" spans="1:6" s="79" customFormat="1" ht="20.100000000000001" customHeight="1">
      <c r="A62" s="78" t="s">
        <v>242</v>
      </c>
      <c r="B62" s="459" t="s">
        <v>243</v>
      </c>
      <c r="C62" s="471">
        <f>SUM(C63:C65)</f>
        <v>0</v>
      </c>
      <c r="D62" s="471">
        <f t="shared" ref="D62:F62" si="8">SUM(D63:D65)</f>
        <v>0</v>
      </c>
      <c r="E62" s="471">
        <f t="shared" si="8"/>
        <v>0</v>
      </c>
      <c r="F62" s="464">
        <f t="shared" si="8"/>
        <v>0</v>
      </c>
    </row>
    <row r="63" spans="1:6" s="79" customFormat="1" ht="17.45" customHeight="1">
      <c r="A63" s="84" t="s">
        <v>241</v>
      </c>
      <c r="B63" s="458" t="s">
        <v>74</v>
      </c>
      <c r="C63" s="469"/>
      <c r="D63" s="467"/>
      <c r="E63" s="469"/>
      <c r="F63" s="480">
        <v>0</v>
      </c>
    </row>
    <row r="64" spans="1:6" s="79" customFormat="1" ht="17.45" customHeight="1">
      <c r="A64" s="84" t="s">
        <v>237</v>
      </c>
      <c r="B64" s="458" t="s">
        <v>240</v>
      </c>
      <c r="C64" s="469"/>
      <c r="D64" s="469"/>
      <c r="E64" s="467"/>
      <c r="F64" s="480">
        <v>0</v>
      </c>
    </row>
    <row r="65" spans="1:6" s="79" customFormat="1" ht="17.45" customHeight="1">
      <c r="A65" s="84" t="s">
        <v>238</v>
      </c>
      <c r="B65" s="458" t="s">
        <v>239</v>
      </c>
      <c r="C65" s="469"/>
      <c r="D65" s="469"/>
      <c r="E65" s="467"/>
      <c r="F65" s="480">
        <v>0</v>
      </c>
    </row>
    <row r="66" spans="1:6" s="79" customFormat="1" ht="20.100000000000001" customHeight="1">
      <c r="A66" s="78" t="s">
        <v>234</v>
      </c>
      <c r="B66" s="465" t="s">
        <v>235</v>
      </c>
      <c r="C66" s="471">
        <f>SUM(C67:C70)</f>
        <v>0</v>
      </c>
      <c r="D66" s="471">
        <f t="shared" ref="D66:F66" si="9">SUM(D67:D70)</f>
        <v>0</v>
      </c>
      <c r="E66" s="471">
        <f t="shared" si="9"/>
        <v>0</v>
      </c>
      <c r="F66" s="464">
        <f t="shared" si="9"/>
        <v>0</v>
      </c>
    </row>
    <row r="67" spans="1:6" s="79" customFormat="1" ht="17.45" customHeight="1">
      <c r="A67" s="481"/>
      <c r="B67" s="474" t="s">
        <v>337</v>
      </c>
      <c r="C67" s="469"/>
      <c r="D67" s="469"/>
      <c r="E67" s="467"/>
      <c r="F67" s="480">
        <v>0</v>
      </c>
    </row>
    <row r="68" spans="1:6" s="79" customFormat="1" ht="17.45" customHeight="1">
      <c r="A68" s="319"/>
      <c r="B68" s="474" t="s">
        <v>336</v>
      </c>
      <c r="C68" s="469"/>
      <c r="D68" s="469"/>
      <c r="E68" s="467"/>
      <c r="F68" s="480">
        <v>0</v>
      </c>
    </row>
    <row r="69" spans="1:6" s="79" customFormat="1" ht="17.45" customHeight="1">
      <c r="A69" s="323"/>
      <c r="B69" s="458" t="s">
        <v>236</v>
      </c>
      <c r="C69" s="469"/>
      <c r="D69" s="471"/>
      <c r="E69" s="469"/>
      <c r="F69" s="468">
        <v>0</v>
      </c>
    </row>
    <row r="70" spans="1:6" s="79" customFormat="1" ht="17.45" customHeight="1" thickBot="1">
      <c r="A70" s="323"/>
      <c r="B70" s="456" t="s">
        <v>335</v>
      </c>
      <c r="C70" s="477"/>
      <c r="D70" s="491"/>
      <c r="E70" s="477"/>
      <c r="F70" s="497">
        <v>0</v>
      </c>
    </row>
    <row r="71" spans="1:6" s="80" customFormat="1" ht="21" customHeight="1" thickBot="1">
      <c r="A71" s="132" t="s">
        <v>199</v>
      </c>
      <c r="B71" s="130" t="s">
        <v>67</v>
      </c>
      <c r="C71" s="131">
        <f>C72+C76+C77+C86+C88+C92+C93+C94</f>
        <v>0</v>
      </c>
      <c r="D71" s="131">
        <f>D72+D76+D77+D86+D88+D92+D93+D94</f>
        <v>0</v>
      </c>
      <c r="E71" s="131">
        <f>E72+E76+E77+E86+E88+E92+E93+E94</f>
        <v>0</v>
      </c>
      <c r="F71" s="494">
        <f>F72+F76+F77+F86+F88+F92+F93+F94</f>
        <v>0</v>
      </c>
    </row>
    <row r="72" spans="1:6" s="80" customFormat="1" ht="20.100000000000001" customHeight="1">
      <c r="A72" s="119" t="s">
        <v>217</v>
      </c>
      <c r="B72" s="120" t="s">
        <v>218</v>
      </c>
      <c r="C72" s="111">
        <f>SUM(C73:C75)</f>
        <v>0</v>
      </c>
      <c r="D72" s="111">
        <f t="shared" ref="D72:F72" si="10">SUM(D73:D75)</f>
        <v>0</v>
      </c>
      <c r="E72" s="111">
        <f t="shared" si="10"/>
        <v>0</v>
      </c>
      <c r="F72" s="493">
        <f t="shared" si="10"/>
        <v>0</v>
      </c>
    </row>
    <row r="73" spans="1:6" s="80" customFormat="1" ht="17.45" customHeight="1">
      <c r="A73" s="473"/>
      <c r="B73" s="479" t="s">
        <v>42</v>
      </c>
      <c r="C73" s="476"/>
      <c r="D73" s="475"/>
      <c r="E73" s="475"/>
      <c r="F73" s="472">
        <v>0</v>
      </c>
    </row>
    <row r="74" spans="1:6" s="80" customFormat="1" ht="17.45" customHeight="1">
      <c r="A74" s="321"/>
      <c r="B74" s="479" t="s">
        <v>379</v>
      </c>
      <c r="C74" s="476"/>
      <c r="D74" s="482"/>
      <c r="E74" s="482"/>
      <c r="F74" s="472">
        <v>0</v>
      </c>
    </row>
    <row r="75" spans="1:6" s="80" customFormat="1" ht="17.45" customHeight="1">
      <c r="A75" s="320"/>
      <c r="B75" s="479" t="s">
        <v>382</v>
      </c>
      <c r="C75" s="476"/>
      <c r="D75" s="482"/>
      <c r="E75" s="482"/>
      <c r="F75" s="472">
        <v>0</v>
      </c>
    </row>
    <row r="76" spans="1:6" s="80" customFormat="1" ht="20.100000000000001" customHeight="1">
      <c r="A76" s="78" t="s">
        <v>220</v>
      </c>
      <c r="B76" s="465" t="s">
        <v>219</v>
      </c>
      <c r="C76" s="471"/>
      <c r="D76" s="471"/>
      <c r="E76" s="471"/>
      <c r="F76" s="468">
        <v>0</v>
      </c>
    </row>
    <row r="77" spans="1:6" s="80" customFormat="1" ht="20.100000000000001" customHeight="1">
      <c r="A77" s="78" t="s">
        <v>221</v>
      </c>
      <c r="B77" s="465" t="s">
        <v>222</v>
      </c>
      <c r="C77" s="471">
        <f>SUM(C78:C85)</f>
        <v>0</v>
      </c>
      <c r="D77" s="471">
        <f t="shared" ref="D77:F77" si="11">SUM(D78:D85)</f>
        <v>0</v>
      </c>
      <c r="E77" s="471">
        <f t="shared" si="11"/>
        <v>0</v>
      </c>
      <c r="F77" s="464">
        <f t="shared" si="11"/>
        <v>0</v>
      </c>
    </row>
    <row r="78" spans="1:6" s="80" customFormat="1" ht="17.45" customHeight="1">
      <c r="A78" s="481"/>
      <c r="B78" s="458" t="s">
        <v>334</v>
      </c>
      <c r="C78" s="469"/>
      <c r="D78" s="467"/>
      <c r="E78" s="467"/>
      <c r="F78" s="480">
        <v>0</v>
      </c>
    </row>
    <row r="79" spans="1:6" s="80" customFormat="1" ht="17.45" customHeight="1">
      <c r="A79" s="323"/>
      <c r="B79" s="458" t="s">
        <v>333</v>
      </c>
      <c r="C79" s="469"/>
      <c r="D79" s="469"/>
      <c r="E79" s="467"/>
      <c r="F79" s="480">
        <v>0</v>
      </c>
    </row>
    <row r="80" spans="1:6" s="80" customFormat="1" ht="17.45" customHeight="1">
      <c r="A80" s="323"/>
      <c r="B80" s="474" t="s">
        <v>332</v>
      </c>
      <c r="C80" s="469"/>
      <c r="D80" s="467"/>
      <c r="E80" s="469"/>
      <c r="F80" s="480">
        <v>0</v>
      </c>
    </row>
    <row r="81" spans="1:6" s="86" customFormat="1" ht="17.45" customHeight="1">
      <c r="A81" s="321"/>
      <c r="B81" s="458" t="s">
        <v>106</v>
      </c>
      <c r="C81" s="476"/>
      <c r="D81" s="475"/>
      <c r="E81" s="476"/>
      <c r="F81" s="472">
        <v>0</v>
      </c>
    </row>
    <row r="82" spans="1:6" s="80" customFormat="1" ht="48" customHeight="1">
      <c r="A82" s="321"/>
      <c r="B82" s="458" t="s">
        <v>70</v>
      </c>
      <c r="C82" s="476"/>
      <c r="D82" s="475"/>
      <c r="E82" s="476"/>
      <c r="F82" s="472">
        <v>0</v>
      </c>
    </row>
    <row r="83" spans="1:6" s="86" customFormat="1" ht="17.45" customHeight="1">
      <c r="A83" s="321"/>
      <c r="B83" s="458" t="s">
        <v>71</v>
      </c>
      <c r="C83" s="476"/>
      <c r="D83" s="475"/>
      <c r="E83" s="476"/>
      <c r="F83" s="472">
        <v>0</v>
      </c>
    </row>
    <row r="84" spans="1:6" s="80" customFormat="1" ht="17.45" customHeight="1">
      <c r="A84" s="323"/>
      <c r="B84" s="458" t="s">
        <v>331</v>
      </c>
      <c r="C84" s="469"/>
      <c r="D84" s="469"/>
      <c r="E84" s="467"/>
      <c r="F84" s="480">
        <v>0</v>
      </c>
    </row>
    <row r="85" spans="1:6" s="79" customFormat="1" ht="29.45" customHeight="1">
      <c r="A85" s="322"/>
      <c r="B85" s="458" t="s">
        <v>330</v>
      </c>
      <c r="C85" s="469"/>
      <c r="D85" s="467"/>
      <c r="E85" s="498"/>
      <c r="F85" s="480">
        <v>0</v>
      </c>
    </row>
    <row r="86" spans="1:6" s="79" customFormat="1" ht="20.65" customHeight="1">
      <c r="A86" s="119" t="s">
        <v>224</v>
      </c>
      <c r="B86" s="120" t="s">
        <v>223</v>
      </c>
      <c r="C86" s="111">
        <f>SUM(C87)</f>
        <v>0</v>
      </c>
      <c r="D86" s="111">
        <f t="shared" ref="D86:F86" si="12">SUM(D87)</f>
        <v>0</v>
      </c>
      <c r="E86" s="111">
        <f t="shared" si="12"/>
        <v>0</v>
      </c>
      <c r="F86" s="464">
        <f t="shared" si="12"/>
        <v>0</v>
      </c>
    </row>
    <row r="87" spans="1:6" s="79" customFormat="1" ht="80.25" customHeight="1">
      <c r="A87" s="84"/>
      <c r="B87" s="458" t="s">
        <v>329</v>
      </c>
      <c r="C87" s="469"/>
      <c r="D87" s="467"/>
      <c r="E87" s="467"/>
      <c r="F87" s="480">
        <v>0</v>
      </c>
    </row>
    <row r="88" spans="1:6" s="79" customFormat="1" ht="20.65" customHeight="1">
      <c r="A88" s="78" t="s">
        <v>225</v>
      </c>
      <c r="B88" s="483" t="s">
        <v>226</v>
      </c>
      <c r="C88" s="471">
        <f>C89+C90</f>
        <v>0</v>
      </c>
      <c r="D88" s="471">
        <f>D89+D90</f>
        <v>0</v>
      </c>
      <c r="E88" s="471">
        <f t="shared" ref="E88:F88" si="13">E89+E90</f>
        <v>0</v>
      </c>
      <c r="F88" s="464">
        <f t="shared" si="13"/>
        <v>0</v>
      </c>
    </row>
    <row r="89" spans="1:6" s="79" customFormat="1" ht="16.899999999999999" customHeight="1">
      <c r="A89" s="481"/>
      <c r="B89" s="458" t="s">
        <v>327</v>
      </c>
      <c r="C89" s="469"/>
      <c r="D89" s="469"/>
      <c r="E89" s="467">
        <v>0</v>
      </c>
      <c r="F89" s="480">
        <v>0</v>
      </c>
    </row>
    <row r="90" spans="1:6" s="79" customFormat="1" ht="16.899999999999999" customHeight="1">
      <c r="A90" s="323"/>
      <c r="B90" s="474" t="s">
        <v>328</v>
      </c>
      <c r="C90" s="469">
        <f>C91</f>
        <v>0</v>
      </c>
      <c r="D90" s="469">
        <f t="shared" ref="D90:F90" si="14">D91</f>
        <v>0</v>
      </c>
      <c r="E90" s="469">
        <f t="shared" si="14"/>
        <v>0</v>
      </c>
      <c r="F90" s="484">
        <f t="shared" si="14"/>
        <v>0</v>
      </c>
    </row>
    <row r="91" spans="1:6" s="79" customFormat="1" ht="16.899999999999999" customHeight="1">
      <c r="A91" s="321"/>
      <c r="B91" s="479" t="s">
        <v>103</v>
      </c>
      <c r="C91" s="476">
        <v>0</v>
      </c>
      <c r="D91" s="476">
        <v>0</v>
      </c>
      <c r="E91" s="475">
        <v>0</v>
      </c>
      <c r="F91" s="472">
        <v>0</v>
      </c>
    </row>
    <row r="92" spans="1:6" s="79" customFormat="1" ht="20.65" customHeight="1">
      <c r="A92" s="78" t="s">
        <v>227</v>
      </c>
      <c r="B92" s="483" t="s">
        <v>228</v>
      </c>
      <c r="C92" s="471"/>
      <c r="D92" s="471"/>
      <c r="E92" s="482">
        <v>0</v>
      </c>
      <c r="F92" s="472">
        <v>0</v>
      </c>
    </row>
    <row r="93" spans="1:6" s="79" customFormat="1" ht="20.65" customHeight="1">
      <c r="A93" s="78" t="s">
        <v>229</v>
      </c>
      <c r="B93" s="483" t="s">
        <v>230</v>
      </c>
      <c r="C93" s="471">
        <v>0</v>
      </c>
      <c r="D93" s="471">
        <v>0</v>
      </c>
      <c r="E93" s="470">
        <v>0</v>
      </c>
      <c r="F93" s="468">
        <v>0</v>
      </c>
    </row>
    <row r="94" spans="1:6" s="79" customFormat="1" ht="15.75" thickBot="1">
      <c r="A94" s="466" t="s">
        <v>348</v>
      </c>
      <c r="B94" s="485" t="s">
        <v>231</v>
      </c>
      <c r="C94" s="486"/>
      <c r="D94" s="486"/>
      <c r="E94" s="487">
        <v>0</v>
      </c>
      <c r="F94" s="496">
        <v>0</v>
      </c>
    </row>
    <row r="95" spans="1:6" s="79" customFormat="1" ht="27.95" customHeight="1" thickBot="1">
      <c r="A95" s="127" t="s">
        <v>200</v>
      </c>
      <c r="B95" s="130" t="s">
        <v>210</v>
      </c>
      <c r="C95" s="131">
        <f>C96+C101+C104</f>
        <v>0</v>
      </c>
      <c r="D95" s="131">
        <f t="shared" ref="D95:F95" si="15">D96+D101+D104</f>
        <v>0</v>
      </c>
      <c r="E95" s="131">
        <f t="shared" si="15"/>
        <v>0</v>
      </c>
      <c r="F95" s="494">
        <f t="shared" si="15"/>
        <v>0</v>
      </c>
    </row>
    <row r="96" spans="1:6" s="80" customFormat="1" ht="20.65" customHeight="1">
      <c r="A96" s="119" t="s">
        <v>245</v>
      </c>
      <c r="B96" s="120" t="s">
        <v>244</v>
      </c>
      <c r="C96" s="111">
        <f>SUM(C97:C100)</f>
        <v>0</v>
      </c>
      <c r="D96" s="111">
        <f t="shared" ref="D96:F96" si="16">SUM(D97:D100)</f>
        <v>0</v>
      </c>
      <c r="E96" s="111">
        <f t="shared" si="16"/>
        <v>0</v>
      </c>
      <c r="F96" s="493">
        <f t="shared" si="16"/>
        <v>0</v>
      </c>
    </row>
    <row r="97" spans="1:10" s="80" customFormat="1" ht="16.899999999999999" customHeight="1">
      <c r="A97" s="481"/>
      <c r="B97" s="458" t="s">
        <v>326</v>
      </c>
      <c r="C97" s="469">
        <v>0</v>
      </c>
      <c r="D97" s="467">
        <v>0</v>
      </c>
      <c r="E97" s="467">
        <v>0</v>
      </c>
      <c r="F97" s="480">
        <v>0</v>
      </c>
    </row>
    <row r="98" spans="1:10" s="80" customFormat="1" ht="16.899999999999999" customHeight="1">
      <c r="A98" s="323"/>
      <c r="B98" s="458" t="s">
        <v>325</v>
      </c>
      <c r="C98" s="469"/>
      <c r="D98" s="467"/>
      <c r="E98" s="469"/>
      <c r="F98" s="480">
        <v>0</v>
      </c>
    </row>
    <row r="99" spans="1:10" s="80" customFormat="1" ht="16.899999999999999" customHeight="1">
      <c r="A99" s="323"/>
      <c r="B99" s="458" t="s">
        <v>324</v>
      </c>
      <c r="C99" s="469">
        <v>0</v>
      </c>
      <c r="D99" s="467">
        <v>0</v>
      </c>
      <c r="E99" s="467">
        <v>0</v>
      </c>
      <c r="F99" s="480">
        <v>0</v>
      </c>
    </row>
    <row r="100" spans="1:10" s="80" customFormat="1" ht="16.899999999999999" customHeight="1">
      <c r="A100" s="322"/>
      <c r="B100" s="458" t="s">
        <v>323</v>
      </c>
      <c r="C100" s="469">
        <v>0</v>
      </c>
      <c r="D100" s="467">
        <v>0</v>
      </c>
      <c r="E100" s="467">
        <v>0</v>
      </c>
      <c r="F100" s="480">
        <v>0</v>
      </c>
    </row>
    <row r="101" spans="1:10" s="80" customFormat="1" ht="20.65" customHeight="1">
      <c r="A101" s="78" t="s">
        <v>246</v>
      </c>
      <c r="B101" s="465" t="s">
        <v>247</v>
      </c>
      <c r="C101" s="471">
        <f>SUM(C102:C103)</f>
        <v>0</v>
      </c>
      <c r="D101" s="471">
        <f t="shared" ref="D101:F101" si="17">SUM(D102:D103)</f>
        <v>0</v>
      </c>
      <c r="E101" s="471">
        <f t="shared" si="17"/>
        <v>0</v>
      </c>
      <c r="F101" s="464">
        <f t="shared" si="17"/>
        <v>0</v>
      </c>
    </row>
    <row r="102" spans="1:10" s="80" customFormat="1" ht="16.899999999999999" customHeight="1">
      <c r="A102" s="481"/>
      <c r="B102" s="458" t="s">
        <v>322</v>
      </c>
      <c r="C102" s="469">
        <v>0</v>
      </c>
      <c r="D102" s="467">
        <v>0</v>
      </c>
      <c r="E102" s="467">
        <v>0</v>
      </c>
      <c r="F102" s="480">
        <v>0</v>
      </c>
    </row>
    <row r="103" spans="1:10" s="80" customFormat="1" ht="16.899999999999999" customHeight="1">
      <c r="A103" s="322"/>
      <c r="B103" s="458" t="s">
        <v>321</v>
      </c>
      <c r="C103" s="469">
        <v>0</v>
      </c>
      <c r="D103" s="467">
        <v>0</v>
      </c>
      <c r="E103" s="467">
        <v>0</v>
      </c>
      <c r="F103" s="480">
        <v>0</v>
      </c>
    </row>
    <row r="104" spans="1:10" s="80" customFormat="1" ht="20.65" customHeight="1">
      <c r="A104" s="78" t="s">
        <v>248</v>
      </c>
      <c r="B104" s="465" t="s">
        <v>249</v>
      </c>
      <c r="C104" s="471">
        <f>C105</f>
        <v>0</v>
      </c>
      <c r="D104" s="471">
        <f t="shared" ref="D104:F104" si="18">D105</f>
        <v>0</v>
      </c>
      <c r="E104" s="471">
        <f t="shared" si="18"/>
        <v>0</v>
      </c>
      <c r="F104" s="464">
        <f t="shared" si="18"/>
        <v>0</v>
      </c>
    </row>
    <row r="105" spans="1:10" s="80" customFormat="1" ht="16.899999999999999" customHeight="1" thickBot="1">
      <c r="A105" s="466"/>
      <c r="B105" s="488" t="s">
        <v>370</v>
      </c>
      <c r="C105" s="477">
        <v>0</v>
      </c>
      <c r="D105" s="478">
        <v>0</v>
      </c>
      <c r="E105" s="477">
        <v>0</v>
      </c>
      <c r="F105" s="496">
        <v>0</v>
      </c>
    </row>
    <row r="106" spans="1:10" s="80" customFormat="1" ht="27.95" customHeight="1" thickBot="1">
      <c r="A106" s="127" t="s">
        <v>201</v>
      </c>
      <c r="B106" s="130" t="s">
        <v>212</v>
      </c>
      <c r="C106" s="131">
        <f>C107</f>
        <v>0</v>
      </c>
      <c r="D106" s="131">
        <f t="shared" ref="D106:F106" si="19">D107</f>
        <v>0</v>
      </c>
      <c r="E106" s="131">
        <f t="shared" si="19"/>
        <v>0</v>
      </c>
      <c r="F106" s="494">
        <f t="shared" si="19"/>
        <v>0</v>
      </c>
    </row>
    <row r="107" spans="1:10" s="80" customFormat="1" ht="20.65" customHeight="1">
      <c r="A107" s="119" t="s">
        <v>261</v>
      </c>
      <c r="B107" s="120" t="s">
        <v>262</v>
      </c>
      <c r="C107" s="111">
        <f>SUM(C108:C108)</f>
        <v>0</v>
      </c>
      <c r="D107" s="111">
        <f>SUM(D108:D108)</f>
        <v>0</v>
      </c>
      <c r="E107" s="111">
        <f>SUM(E108:E108)</f>
        <v>0</v>
      </c>
      <c r="F107" s="493">
        <f>SUM(F108:F108)</f>
        <v>0</v>
      </c>
    </row>
    <row r="108" spans="1:10" s="80" customFormat="1" ht="30" customHeight="1" thickBot="1">
      <c r="A108" s="323"/>
      <c r="B108" s="488" t="s">
        <v>371</v>
      </c>
      <c r="C108" s="477"/>
      <c r="D108" s="478"/>
      <c r="E108" s="477"/>
      <c r="F108" s="496">
        <v>0</v>
      </c>
    </row>
    <row r="109" spans="1:10" s="80" customFormat="1" ht="27.95" customHeight="1" thickBot="1">
      <c r="A109" s="127" t="s">
        <v>202</v>
      </c>
      <c r="B109" s="130" t="s">
        <v>213</v>
      </c>
      <c r="C109" s="131">
        <f>C110+C114</f>
        <v>0</v>
      </c>
      <c r="D109" s="131">
        <f t="shared" ref="D109:F109" si="20">D110+D114</f>
        <v>0</v>
      </c>
      <c r="E109" s="131">
        <f t="shared" si="20"/>
        <v>0</v>
      </c>
      <c r="F109" s="494">
        <f t="shared" si="20"/>
        <v>0</v>
      </c>
      <c r="J109" s="324"/>
    </row>
    <row r="110" spans="1:10" s="79" customFormat="1" ht="30" customHeight="1">
      <c r="A110" s="119" t="s">
        <v>380</v>
      </c>
      <c r="B110" s="121" t="s">
        <v>263</v>
      </c>
      <c r="C110" s="111">
        <f>SUM(C111:C113)</f>
        <v>0</v>
      </c>
      <c r="D110" s="111">
        <f t="shared" ref="D110:F110" si="21">SUM(D111:D113)</f>
        <v>0</v>
      </c>
      <c r="E110" s="111">
        <f t="shared" si="21"/>
        <v>0</v>
      </c>
      <c r="F110" s="493">
        <f t="shared" si="21"/>
        <v>0</v>
      </c>
    </row>
    <row r="111" spans="1:10" s="79" customFormat="1" ht="16.899999999999999" customHeight="1">
      <c r="A111" s="481"/>
      <c r="B111" s="474" t="s">
        <v>318</v>
      </c>
      <c r="C111" s="469"/>
      <c r="D111" s="467"/>
      <c r="E111" s="469"/>
      <c r="F111" s="480">
        <v>0</v>
      </c>
    </row>
    <row r="112" spans="1:10" s="79" customFormat="1" ht="29.25" customHeight="1">
      <c r="A112" s="323"/>
      <c r="B112" s="474" t="s">
        <v>319</v>
      </c>
      <c r="C112" s="469"/>
      <c r="D112" s="467"/>
      <c r="E112" s="469"/>
      <c r="F112" s="480">
        <v>0</v>
      </c>
    </row>
    <row r="113" spans="1:6" s="81" customFormat="1" ht="27" customHeight="1">
      <c r="A113" s="322"/>
      <c r="B113" s="489" t="s">
        <v>320</v>
      </c>
      <c r="C113" s="469"/>
      <c r="D113" s="467"/>
      <c r="E113" s="469"/>
      <c r="F113" s="480">
        <v>0</v>
      </c>
    </row>
    <row r="114" spans="1:6" ht="20.65" customHeight="1">
      <c r="A114" s="78" t="s">
        <v>381</v>
      </c>
      <c r="B114" s="490" t="s">
        <v>347</v>
      </c>
      <c r="C114" s="471">
        <f>SUM(C115:C116)</f>
        <v>0</v>
      </c>
      <c r="D114" s="471">
        <f>SUM(D115:D116)</f>
        <v>0</v>
      </c>
      <c r="E114" s="471">
        <f>SUM(E115:E116)</f>
        <v>0</v>
      </c>
      <c r="F114" s="464">
        <f>SUM(F115:F116)</f>
        <v>0</v>
      </c>
    </row>
    <row r="115" spans="1:6" ht="16.899999999999999" customHeight="1">
      <c r="A115" s="466"/>
      <c r="B115" s="474" t="s">
        <v>287</v>
      </c>
      <c r="C115" s="469">
        <v>0</v>
      </c>
      <c r="D115" s="467">
        <v>0</v>
      </c>
      <c r="E115" s="469">
        <v>0</v>
      </c>
      <c r="F115" s="468">
        <v>0</v>
      </c>
    </row>
    <row r="116" spans="1:6" ht="16.899999999999999" customHeight="1" thickBot="1">
      <c r="A116" s="319"/>
      <c r="B116" s="488" t="s">
        <v>288</v>
      </c>
      <c r="C116" s="477">
        <v>0</v>
      </c>
      <c r="D116" s="491"/>
      <c r="E116" s="477">
        <v>0</v>
      </c>
      <c r="F116" s="497">
        <v>0</v>
      </c>
    </row>
    <row r="117" spans="1:6" ht="27.95" customHeight="1" thickBot="1">
      <c r="A117" s="127" t="s">
        <v>203</v>
      </c>
      <c r="B117" s="130" t="s">
        <v>75</v>
      </c>
      <c r="C117" s="131">
        <f>C118+C119+C120</f>
        <v>0</v>
      </c>
      <c r="D117" s="131">
        <f>D118+D119+D120</f>
        <v>0</v>
      </c>
      <c r="E117" s="131">
        <f t="shared" ref="E117:F117" si="22">E118+E119+E120</f>
        <v>0</v>
      </c>
      <c r="F117" s="494">
        <f t="shared" si="22"/>
        <v>0</v>
      </c>
    </row>
    <row r="118" spans="1:6" s="79" customFormat="1" ht="20.65" customHeight="1">
      <c r="A118" s="119" t="s">
        <v>266</v>
      </c>
      <c r="B118" s="120" t="s">
        <v>267</v>
      </c>
      <c r="C118" s="122">
        <v>0</v>
      </c>
      <c r="D118" s="122">
        <v>0</v>
      </c>
      <c r="E118" s="123">
        <v>0</v>
      </c>
      <c r="F118" s="499">
        <v>0</v>
      </c>
    </row>
    <row r="119" spans="1:6" s="79" customFormat="1" ht="20.65" customHeight="1">
      <c r="A119" s="78" t="s">
        <v>264</v>
      </c>
      <c r="B119" s="465" t="s">
        <v>265</v>
      </c>
      <c r="C119" s="471">
        <v>0</v>
      </c>
      <c r="D119" s="471">
        <v>0</v>
      </c>
      <c r="E119" s="448">
        <v>0</v>
      </c>
      <c r="F119" s="468">
        <v>0</v>
      </c>
    </row>
    <row r="120" spans="1:6" s="79" customFormat="1" ht="20.65" customHeight="1">
      <c r="A120" s="78" t="s">
        <v>268</v>
      </c>
      <c r="B120" s="465" t="s">
        <v>269</v>
      </c>
      <c r="C120" s="471">
        <f>C121</f>
        <v>0</v>
      </c>
      <c r="D120" s="471">
        <f t="shared" ref="D120:F120" si="23">D121</f>
        <v>0</v>
      </c>
      <c r="E120" s="471">
        <f t="shared" si="23"/>
        <v>0</v>
      </c>
      <c r="F120" s="471">
        <f t="shared" si="23"/>
        <v>0</v>
      </c>
    </row>
    <row r="121" spans="1:6" s="81" customFormat="1" ht="30" customHeight="1" thickBot="1">
      <c r="A121" s="481"/>
      <c r="B121" s="474" t="s">
        <v>434</v>
      </c>
      <c r="C121" s="469"/>
      <c r="D121" s="469"/>
      <c r="E121" s="476">
        <v>0</v>
      </c>
      <c r="F121" s="468">
        <v>0</v>
      </c>
    </row>
    <row r="122" spans="1:6" s="92" customFormat="1" ht="27.95" customHeight="1" thickBot="1">
      <c r="A122" s="133" t="s">
        <v>0</v>
      </c>
      <c r="B122" s="693"/>
      <c r="C122" s="129">
        <f>C3+C53+C58+C71+C95+C106+C109+C117</f>
        <v>1261941916</v>
      </c>
      <c r="D122" s="129">
        <f>D3+D53+D58+D71+D95+D106+D109+D117</f>
        <v>1261941916</v>
      </c>
      <c r="E122" s="129">
        <f>E3+E53+E58+E71+E95+E106+E109+E117</f>
        <v>0</v>
      </c>
      <c r="F122" s="494">
        <f>F3+F53+F58+F71+F95+F106+F109+F117</f>
        <v>0</v>
      </c>
    </row>
    <row r="123" spans="1:6" s="87" customFormat="1" ht="20.100000000000001" customHeight="1">
      <c r="A123" s="81"/>
      <c r="B123" s="314"/>
    </row>
    <row r="124" spans="1:6" s="81" customFormat="1" ht="20.100000000000001" customHeight="1">
      <c r="B124" s="314"/>
      <c r="D124" s="88" t="s">
        <v>55</v>
      </c>
    </row>
    <row r="125" spans="1:6" s="79" customFormat="1" ht="20.100000000000001" customHeight="1">
      <c r="B125" s="315"/>
    </row>
    <row r="126" spans="1:6" s="81" customFormat="1" ht="20.100000000000001" customHeight="1">
      <c r="B126" s="314"/>
    </row>
    <row r="127" spans="1:6" s="81" customFormat="1" ht="20.100000000000001" customHeight="1">
      <c r="B127" s="314"/>
    </row>
    <row r="128" spans="1:6" s="81" customFormat="1" ht="23.1" customHeight="1">
      <c r="B128" s="314"/>
    </row>
    <row r="129" spans="1:2" s="79" customFormat="1" ht="20.100000000000001" customHeight="1">
      <c r="B129" s="315"/>
    </row>
    <row r="130" spans="1:2" s="80" customFormat="1" ht="20.100000000000001" customHeight="1">
      <c r="B130" s="316"/>
    </row>
    <row r="131" spans="1:2" s="79" customFormat="1" ht="20.100000000000001" customHeight="1">
      <c r="B131" s="315"/>
    </row>
    <row r="132" spans="1:2" s="87" customFormat="1" ht="24.95" customHeight="1">
      <c r="A132" s="81"/>
      <c r="B132" s="314"/>
    </row>
    <row r="133" spans="1:2" s="87" customFormat="1">
      <c r="A133" s="81"/>
      <c r="B133" s="314"/>
    </row>
    <row r="134" spans="1:2" s="87" customFormat="1">
      <c r="A134" s="81"/>
      <c r="B134" s="314"/>
    </row>
    <row r="135" spans="1:2" s="87" customFormat="1">
      <c r="A135" s="81"/>
      <c r="B135" s="314"/>
    </row>
    <row r="136" spans="1:2" s="87" customFormat="1">
      <c r="A136" s="81"/>
      <c r="B136" s="314"/>
    </row>
    <row r="137" spans="1:2" s="87" customFormat="1">
      <c r="A137" s="81"/>
      <c r="B137" s="314"/>
    </row>
    <row r="138" spans="1:2" s="87" customFormat="1">
      <c r="A138" s="81"/>
      <c r="B138" s="314"/>
    </row>
    <row r="139" spans="1:2" s="87" customFormat="1">
      <c r="A139" s="81"/>
      <c r="B139" s="314"/>
    </row>
    <row r="140" spans="1:2" s="87" customFormat="1">
      <c r="A140" s="81"/>
      <c r="B140" s="314"/>
    </row>
    <row r="141" spans="1:2" s="87" customFormat="1">
      <c r="A141" s="81"/>
      <c r="B141" s="314"/>
    </row>
    <row r="142" spans="1:2" s="87" customFormat="1">
      <c r="A142" s="81"/>
      <c r="B142" s="314"/>
    </row>
    <row r="143" spans="1:2" s="87" customFormat="1">
      <c r="A143" s="81"/>
      <c r="B143" s="314"/>
    </row>
    <row r="144" spans="1:2" s="87" customFormat="1">
      <c r="A144" s="81"/>
      <c r="B144" s="314"/>
    </row>
    <row r="145" spans="1:2" s="87" customFormat="1">
      <c r="A145" s="81"/>
      <c r="B145" s="314"/>
    </row>
    <row r="146" spans="1:2" s="87" customFormat="1">
      <c r="A146" s="81"/>
      <c r="B146" s="314"/>
    </row>
    <row r="147" spans="1:2" s="87" customFormat="1">
      <c r="A147" s="81"/>
      <c r="B147" s="314"/>
    </row>
    <row r="148" spans="1:2" s="87" customFormat="1">
      <c r="A148" s="81"/>
      <c r="B148" s="314"/>
    </row>
    <row r="149" spans="1:2" s="87" customFormat="1">
      <c r="A149" s="81"/>
      <c r="B149" s="314"/>
    </row>
    <row r="150" spans="1:2" s="87" customFormat="1">
      <c r="A150" s="81"/>
      <c r="B150" s="314"/>
    </row>
    <row r="151" spans="1:2" s="87" customFormat="1">
      <c r="A151" s="81"/>
      <c r="B151" s="314"/>
    </row>
    <row r="152" spans="1:2" s="87" customFormat="1">
      <c r="A152" s="81"/>
      <c r="B152" s="314"/>
    </row>
    <row r="153" spans="1:2" s="87" customFormat="1">
      <c r="A153" s="81"/>
      <c r="B153" s="314"/>
    </row>
    <row r="154" spans="1:2" s="87" customFormat="1">
      <c r="A154" s="81"/>
      <c r="B154" s="314"/>
    </row>
    <row r="155" spans="1:2" s="87" customFormat="1">
      <c r="A155" s="81"/>
      <c r="B155" s="314"/>
    </row>
    <row r="156" spans="1:2" s="87" customFormat="1">
      <c r="A156" s="81"/>
      <c r="B156" s="314"/>
    </row>
    <row r="157" spans="1:2" s="87" customFormat="1">
      <c r="A157" s="81"/>
      <c r="B157" s="314"/>
    </row>
    <row r="158" spans="1:2" s="87" customFormat="1">
      <c r="A158" s="81"/>
      <c r="B158" s="314"/>
    </row>
    <row r="159" spans="1:2" s="87" customFormat="1">
      <c r="A159" s="81"/>
      <c r="B159" s="314"/>
    </row>
    <row r="160" spans="1:2" s="87" customFormat="1">
      <c r="A160" s="81"/>
      <c r="B160" s="314"/>
    </row>
    <row r="161" spans="1:6" s="87" customFormat="1">
      <c r="A161" s="81"/>
      <c r="B161" s="314"/>
    </row>
    <row r="162" spans="1:6" s="87" customFormat="1">
      <c r="A162" s="81"/>
      <c r="B162" s="314"/>
    </row>
    <row r="163" spans="1:6" s="87" customFormat="1">
      <c r="A163" s="81"/>
      <c r="B163" s="314"/>
    </row>
    <row r="164" spans="1:6" s="87" customFormat="1">
      <c r="A164" s="81"/>
      <c r="B164" s="314"/>
    </row>
    <row r="165" spans="1:6" s="87" customFormat="1">
      <c r="A165" s="81"/>
      <c r="B165" s="314"/>
    </row>
    <row r="166" spans="1:6" s="87" customFormat="1">
      <c r="A166" s="81"/>
      <c r="B166" s="314"/>
    </row>
    <row r="167" spans="1:6" s="87" customFormat="1">
      <c r="A167" s="81"/>
      <c r="B167" s="314"/>
    </row>
    <row r="168" spans="1:6" s="87" customFormat="1">
      <c r="A168" s="81"/>
      <c r="B168" s="314"/>
    </row>
    <row r="169" spans="1:6" s="87" customFormat="1">
      <c r="A169" s="81"/>
      <c r="B169" s="314"/>
    </row>
    <row r="170" spans="1:6" s="87" customFormat="1">
      <c r="A170" s="81"/>
      <c r="B170" s="314"/>
    </row>
    <row r="171" spans="1:6" s="87" customFormat="1">
      <c r="A171" s="81"/>
      <c r="B171" s="314"/>
    </row>
    <row r="172" spans="1:6" s="87" customFormat="1">
      <c r="A172" s="114"/>
      <c r="B172" s="694"/>
      <c r="C172" s="75"/>
      <c r="D172" s="89"/>
      <c r="E172" s="91"/>
      <c r="F172" s="89"/>
    </row>
    <row r="173" spans="1:6" s="87" customFormat="1">
      <c r="A173" s="114"/>
      <c r="B173" s="694"/>
      <c r="C173" s="75"/>
      <c r="D173" s="89"/>
      <c r="E173" s="91"/>
      <c r="F173" s="89"/>
    </row>
    <row r="174" spans="1:6" s="87" customFormat="1">
      <c r="A174" s="114"/>
      <c r="B174" s="694"/>
      <c r="C174" s="75"/>
      <c r="D174" s="89"/>
      <c r="E174" s="91"/>
      <c r="F174" s="89"/>
    </row>
    <row r="175" spans="1:6" s="87" customFormat="1">
      <c r="A175" s="114"/>
      <c r="B175" s="694"/>
      <c r="C175" s="75"/>
      <c r="D175" s="89"/>
      <c r="E175" s="91"/>
      <c r="F175" s="89"/>
    </row>
    <row r="176" spans="1:6" s="87" customFormat="1">
      <c r="A176" s="114"/>
      <c r="B176" s="694"/>
      <c r="C176" s="75"/>
      <c r="D176" s="89"/>
      <c r="E176" s="91"/>
      <c r="F176" s="89"/>
    </row>
    <row r="177" spans="1:6" s="87" customFormat="1">
      <c r="A177" s="114"/>
      <c r="B177" s="694"/>
      <c r="C177" s="75"/>
      <c r="D177" s="89"/>
      <c r="E177" s="91"/>
      <c r="F177" s="89"/>
    </row>
    <row r="178" spans="1:6" s="87" customFormat="1">
      <c r="A178" s="114"/>
      <c r="B178" s="694"/>
      <c r="C178" s="75"/>
      <c r="D178" s="89"/>
      <c r="E178" s="91"/>
      <c r="F178" s="89"/>
    </row>
    <row r="179" spans="1:6" s="87" customFormat="1">
      <c r="A179" s="114"/>
      <c r="B179" s="694"/>
      <c r="C179" s="75"/>
      <c r="D179" s="89"/>
      <c r="E179" s="91"/>
      <c r="F179" s="89"/>
    </row>
    <row r="180" spans="1:6" s="87" customFormat="1">
      <c r="A180" s="114"/>
      <c r="B180" s="694"/>
      <c r="C180" s="75"/>
      <c r="D180" s="89"/>
      <c r="E180" s="91"/>
      <c r="F180" s="89"/>
    </row>
    <row r="181" spans="1:6" s="87" customFormat="1">
      <c r="A181" s="114"/>
      <c r="B181" s="694"/>
      <c r="C181" s="75"/>
      <c r="D181" s="89"/>
      <c r="E181" s="91"/>
      <c r="F181" s="89"/>
    </row>
    <row r="182" spans="1:6" s="87" customFormat="1">
      <c r="A182" s="114"/>
      <c r="B182" s="694"/>
      <c r="C182" s="75"/>
      <c r="D182" s="89"/>
      <c r="E182" s="91"/>
      <c r="F182" s="89"/>
    </row>
    <row r="183" spans="1:6" s="87" customFormat="1">
      <c r="A183" s="114"/>
      <c r="B183" s="694"/>
      <c r="C183" s="75"/>
      <c r="D183" s="89"/>
      <c r="E183" s="91"/>
      <c r="F183" s="89"/>
    </row>
    <row r="184" spans="1:6" s="87" customFormat="1">
      <c r="A184" s="114"/>
      <c r="B184" s="694"/>
      <c r="C184" s="75"/>
      <c r="D184" s="89"/>
      <c r="E184" s="91"/>
      <c r="F184" s="89"/>
    </row>
    <row r="185" spans="1:6" s="87" customFormat="1">
      <c r="A185" s="114"/>
      <c r="B185" s="694"/>
      <c r="C185" s="75"/>
      <c r="D185" s="89"/>
      <c r="E185" s="91"/>
      <c r="F185" s="89"/>
    </row>
    <row r="186" spans="1:6" s="87" customFormat="1">
      <c r="A186" s="114"/>
      <c r="B186" s="694"/>
      <c r="C186" s="75"/>
      <c r="D186" s="89"/>
      <c r="E186" s="91"/>
      <c r="F186" s="89"/>
    </row>
    <row r="187" spans="1:6" s="87" customFormat="1">
      <c r="A187" s="114"/>
      <c r="B187" s="694"/>
      <c r="C187" s="75"/>
      <c r="D187" s="89"/>
      <c r="E187" s="91"/>
      <c r="F187" s="89"/>
    </row>
    <row r="188" spans="1:6" s="87" customFormat="1">
      <c r="A188" s="114"/>
      <c r="B188" s="694"/>
      <c r="C188" s="75"/>
      <c r="D188" s="89"/>
      <c r="E188" s="91"/>
      <c r="F188" s="89"/>
    </row>
    <row r="189" spans="1:6" s="87" customFormat="1">
      <c r="A189" s="114"/>
      <c r="B189" s="694"/>
      <c r="C189" s="75"/>
      <c r="D189" s="89"/>
      <c r="E189" s="91"/>
      <c r="F189" s="89"/>
    </row>
    <row r="190" spans="1:6" s="87" customFormat="1">
      <c r="A190" s="114"/>
      <c r="B190" s="694"/>
      <c r="C190" s="75"/>
      <c r="D190" s="89"/>
      <c r="E190" s="91"/>
      <c r="F190" s="89"/>
    </row>
    <row r="191" spans="1:6" s="87" customFormat="1">
      <c r="A191" s="114"/>
      <c r="B191" s="694"/>
      <c r="C191" s="75"/>
      <c r="D191" s="89"/>
      <c r="E191" s="91"/>
      <c r="F191" s="89"/>
    </row>
    <row r="192" spans="1:6" s="87" customFormat="1">
      <c r="A192" s="114"/>
      <c r="B192" s="694"/>
      <c r="C192" s="75"/>
      <c r="D192" s="89"/>
      <c r="E192" s="91"/>
      <c r="F192" s="89"/>
    </row>
    <row r="193" spans="1:6" s="87" customFormat="1">
      <c r="A193" s="114"/>
      <c r="B193" s="694"/>
      <c r="C193" s="75"/>
      <c r="D193" s="89"/>
      <c r="E193" s="91"/>
      <c r="F193" s="89"/>
    </row>
    <row r="194" spans="1:6" s="87" customFormat="1">
      <c r="A194" s="114"/>
      <c r="B194" s="694"/>
      <c r="C194" s="75"/>
      <c r="D194" s="89"/>
      <c r="E194" s="91"/>
      <c r="F194" s="89"/>
    </row>
    <row r="195" spans="1:6" s="87" customFormat="1">
      <c r="A195" s="114"/>
      <c r="B195" s="694"/>
      <c r="C195" s="75"/>
      <c r="D195" s="89"/>
      <c r="E195" s="91"/>
      <c r="F195" s="89"/>
    </row>
    <row r="196" spans="1:6" s="87" customFormat="1">
      <c r="A196" s="114"/>
      <c r="B196" s="694"/>
      <c r="C196" s="75"/>
      <c r="D196" s="89"/>
      <c r="E196" s="91"/>
      <c r="F196" s="89"/>
    </row>
    <row r="197" spans="1:6" s="87" customFormat="1">
      <c r="A197" s="114"/>
      <c r="B197" s="694"/>
      <c r="C197" s="75"/>
      <c r="D197" s="89"/>
      <c r="E197" s="91"/>
      <c r="F197" s="89"/>
    </row>
    <row r="198" spans="1:6" s="87" customFormat="1">
      <c r="A198" s="114"/>
      <c r="B198" s="694"/>
      <c r="C198" s="75"/>
      <c r="D198" s="22"/>
      <c r="E198" s="75"/>
      <c r="F198" s="22"/>
    </row>
    <row r="199" spans="1:6" s="87" customFormat="1">
      <c r="A199" s="112"/>
      <c r="B199" s="694"/>
      <c r="C199" s="75"/>
      <c r="D199" s="22"/>
      <c r="E199" s="75"/>
      <c r="F199" s="22"/>
    </row>
    <row r="200" spans="1:6" s="87" customFormat="1">
      <c r="A200" s="112"/>
      <c r="B200" s="694"/>
      <c r="C200" s="75"/>
      <c r="D200" s="22"/>
      <c r="E200" s="75"/>
      <c r="F200" s="22"/>
    </row>
    <row r="201" spans="1:6" s="87" customFormat="1">
      <c r="A201" s="112"/>
      <c r="B201" s="694"/>
      <c r="C201" s="75"/>
      <c r="D201" s="22"/>
      <c r="E201" s="75"/>
      <c r="F201" s="22"/>
    </row>
    <row r="202" spans="1:6" s="87" customFormat="1">
      <c r="A202" s="112"/>
      <c r="B202" s="694"/>
      <c r="C202" s="75"/>
      <c r="D202" s="22"/>
      <c r="E202" s="75"/>
      <c r="F202" s="22"/>
    </row>
    <row r="203" spans="1:6" s="87" customFormat="1">
      <c r="A203" s="112"/>
      <c r="B203" s="694"/>
      <c r="C203" s="75"/>
      <c r="D203" s="22"/>
      <c r="E203" s="75"/>
      <c r="F203" s="22"/>
    </row>
    <row r="204" spans="1:6" s="87" customFormat="1">
      <c r="A204" s="112"/>
      <c r="B204" s="694"/>
      <c r="C204" s="75"/>
      <c r="D204" s="22"/>
      <c r="E204" s="75"/>
      <c r="F204" s="22"/>
    </row>
    <row r="205" spans="1:6" s="87" customFormat="1">
      <c r="A205" s="112"/>
      <c r="B205" s="694"/>
      <c r="C205" s="75"/>
      <c r="D205" s="22"/>
      <c r="E205" s="75"/>
      <c r="F205" s="22"/>
    </row>
    <row r="206" spans="1:6" s="87" customFormat="1">
      <c r="A206" s="112"/>
      <c r="B206" s="694"/>
      <c r="C206" s="75"/>
      <c r="D206" s="22"/>
      <c r="E206" s="75"/>
      <c r="F206" s="22"/>
    </row>
    <row r="207" spans="1:6" s="87" customFormat="1">
      <c r="A207" s="112"/>
      <c r="B207" s="694"/>
      <c r="C207" s="75"/>
      <c r="D207" s="22"/>
      <c r="E207" s="75"/>
      <c r="F207" s="22"/>
    </row>
  </sheetData>
  <mergeCells count="1">
    <mergeCell ref="A1:F1"/>
  </mergeCells>
  <pageMargins left="0.7" right="0.7" top="0.75" bottom="0.75" header="0.3" footer="0.3"/>
  <pageSetup paperSize="9" scale="52" orientation="portrait" r:id="rId1"/>
  <headerFooter>
    <oddHeader>&amp;L&amp;"Arial,Dőlt"6.sz tájékoztató tábla a 2/2020. (II.14.) önkormányzati rendelethez</oddHeader>
  </headerFooter>
  <rowBreaks count="1" manualBreakCount="1">
    <brk id="56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G145"/>
  <sheetViews>
    <sheetView view="pageLayout" topLeftCell="A84" zoomScaleNormal="100" zoomScaleSheetLayoutView="100" workbookViewId="0">
      <selection activeCell="B88" sqref="B88"/>
    </sheetView>
  </sheetViews>
  <sheetFormatPr defaultColWidth="9.140625" defaultRowHeight="12.75"/>
  <cols>
    <col min="1" max="1" width="7.140625" style="101" customWidth="1"/>
    <col min="2" max="2" width="42.7109375" style="18" customWidth="1"/>
    <col min="3" max="3" width="16" style="67" customWidth="1"/>
    <col min="4" max="4" width="14.140625" style="15" customWidth="1"/>
    <col min="5" max="5" width="11.85546875" style="15" bestFit="1" customWidth="1"/>
    <col min="6" max="6" width="11.140625" style="15" customWidth="1"/>
    <col min="7" max="7" width="24.7109375" style="15" customWidth="1"/>
    <col min="8" max="16384" width="9.140625" style="15"/>
  </cols>
  <sheetData>
    <row r="1" spans="1:7" s="58" customFormat="1" ht="24.75" customHeight="1">
      <c r="A1" s="1219" t="s">
        <v>310</v>
      </c>
      <c r="B1" s="1219"/>
      <c r="C1" s="1219"/>
      <c r="D1" s="1219"/>
      <c r="E1" s="1219"/>
      <c r="F1" s="1219"/>
      <c r="G1" s="57"/>
    </row>
    <row r="2" spans="1:7" s="58" customFormat="1" ht="14.25" customHeight="1" thickBot="1">
      <c r="A2" s="1050"/>
      <c r="B2" s="1050"/>
      <c r="C2" s="1050"/>
      <c r="D2" s="1050"/>
      <c r="E2" s="1235" t="s">
        <v>692</v>
      </c>
      <c r="F2" s="1235"/>
      <c r="G2" s="57"/>
    </row>
    <row r="3" spans="1:7" s="60" customFormat="1" ht="26.25" customHeight="1" thickBot="1">
      <c r="A3" s="1060" t="s">
        <v>82</v>
      </c>
      <c r="B3" s="1061" t="s">
        <v>77</v>
      </c>
      <c r="C3" s="1062" t="s">
        <v>148</v>
      </c>
      <c r="D3" s="1063" t="s">
        <v>165</v>
      </c>
      <c r="E3" s="1063" t="s">
        <v>166</v>
      </c>
      <c r="F3" s="1064" t="s">
        <v>161</v>
      </c>
      <c r="G3" s="59"/>
    </row>
    <row r="4" spans="1:7" s="70" customFormat="1" ht="24" customHeight="1" thickBot="1">
      <c r="A4" s="124" t="s">
        <v>124</v>
      </c>
      <c r="B4" s="1213" t="s">
        <v>294</v>
      </c>
      <c r="C4" s="1233"/>
      <c r="D4" s="1233"/>
      <c r="E4" s="1233"/>
      <c r="F4" s="1234"/>
      <c r="G4" s="69"/>
    </row>
    <row r="5" spans="1:7" s="17" customFormat="1" ht="18.95" customHeight="1">
      <c r="A5" s="105" t="s">
        <v>196</v>
      </c>
      <c r="B5" s="106" t="s">
        <v>194</v>
      </c>
      <c r="C5" s="334">
        <f>C25+C15+C35</f>
        <v>0</v>
      </c>
      <c r="D5" s="334">
        <f t="shared" ref="D5:F5" si="0">D25+D15+D35</f>
        <v>0</v>
      </c>
      <c r="E5" s="334">
        <f t="shared" si="0"/>
        <v>0</v>
      </c>
      <c r="F5" s="335">
        <f t="shared" si="0"/>
        <v>0</v>
      </c>
      <c r="G5" s="61"/>
    </row>
    <row r="6" spans="1:7" s="17" customFormat="1" ht="18.95" customHeight="1">
      <c r="A6" s="62" t="s">
        <v>197</v>
      </c>
      <c r="B6" s="751" t="s">
        <v>195</v>
      </c>
      <c r="C6" s="334">
        <f t="shared" ref="C6:F12" si="1">C26+C16+C36</f>
        <v>0</v>
      </c>
      <c r="D6" s="334">
        <f t="shared" si="1"/>
        <v>0</v>
      </c>
      <c r="E6" s="334">
        <f t="shared" si="1"/>
        <v>0</v>
      </c>
      <c r="F6" s="335">
        <f t="shared" si="1"/>
        <v>0</v>
      </c>
      <c r="G6" s="61"/>
    </row>
    <row r="7" spans="1:7" s="17" customFormat="1" ht="18.95" customHeight="1">
      <c r="A7" s="62" t="s">
        <v>198</v>
      </c>
      <c r="B7" s="751" t="s">
        <v>204</v>
      </c>
      <c r="C7" s="334">
        <f t="shared" si="1"/>
        <v>0</v>
      </c>
      <c r="D7" s="334">
        <f t="shared" si="1"/>
        <v>0</v>
      </c>
      <c r="E7" s="334">
        <f t="shared" si="1"/>
        <v>0</v>
      </c>
      <c r="F7" s="335">
        <f t="shared" si="1"/>
        <v>0</v>
      </c>
      <c r="G7" s="61"/>
    </row>
    <row r="8" spans="1:7" s="17" customFormat="1" ht="18.95" customHeight="1">
      <c r="A8" s="62" t="s">
        <v>199</v>
      </c>
      <c r="B8" s="751" t="s">
        <v>12</v>
      </c>
      <c r="C8" s="334">
        <f t="shared" si="1"/>
        <v>22544</v>
      </c>
      <c r="D8" s="334">
        <f t="shared" si="1"/>
        <v>22544</v>
      </c>
      <c r="E8" s="334">
        <f t="shared" si="1"/>
        <v>0</v>
      </c>
      <c r="F8" s="335">
        <f t="shared" si="1"/>
        <v>0</v>
      </c>
      <c r="G8" s="61"/>
    </row>
    <row r="9" spans="1:7" s="17" customFormat="1" ht="18.95" customHeight="1">
      <c r="A9" s="62" t="s">
        <v>200</v>
      </c>
      <c r="B9" s="751" t="s">
        <v>205</v>
      </c>
      <c r="C9" s="334">
        <f t="shared" si="1"/>
        <v>0</v>
      </c>
      <c r="D9" s="334">
        <f t="shared" si="1"/>
        <v>0</v>
      </c>
      <c r="E9" s="334">
        <f t="shared" si="1"/>
        <v>0</v>
      </c>
      <c r="F9" s="335">
        <f t="shared" si="1"/>
        <v>0</v>
      </c>
      <c r="G9" s="61"/>
    </row>
    <row r="10" spans="1:7" s="17" customFormat="1" ht="18.95" customHeight="1">
      <c r="A10" s="62" t="s">
        <v>201</v>
      </c>
      <c r="B10" s="751" t="s">
        <v>206</v>
      </c>
      <c r="C10" s="334">
        <f t="shared" si="1"/>
        <v>0</v>
      </c>
      <c r="D10" s="334">
        <f t="shared" si="1"/>
        <v>0</v>
      </c>
      <c r="E10" s="334">
        <f t="shared" si="1"/>
        <v>0</v>
      </c>
      <c r="F10" s="335">
        <f t="shared" si="1"/>
        <v>0</v>
      </c>
      <c r="G10" s="61"/>
    </row>
    <row r="11" spans="1:7" s="17" customFormat="1" ht="18.95" customHeight="1">
      <c r="A11" s="62" t="s">
        <v>202</v>
      </c>
      <c r="B11" s="751" t="s">
        <v>207</v>
      </c>
      <c r="C11" s="334">
        <f t="shared" si="1"/>
        <v>0</v>
      </c>
      <c r="D11" s="334">
        <f t="shared" si="1"/>
        <v>0</v>
      </c>
      <c r="E11" s="334">
        <f t="shared" si="1"/>
        <v>0</v>
      </c>
      <c r="F11" s="335">
        <f t="shared" si="1"/>
        <v>0</v>
      </c>
      <c r="G11" s="61"/>
    </row>
    <row r="12" spans="1:7" s="17" customFormat="1" ht="24" customHeight="1" thickBot="1">
      <c r="A12" s="505" t="s">
        <v>203</v>
      </c>
      <c r="B12" s="506" t="s">
        <v>208</v>
      </c>
      <c r="C12" s="507">
        <f t="shared" si="1"/>
        <v>182880</v>
      </c>
      <c r="D12" s="507">
        <f t="shared" si="1"/>
        <v>182880</v>
      </c>
      <c r="E12" s="507">
        <f t="shared" si="1"/>
        <v>0</v>
      </c>
      <c r="F12" s="923">
        <f t="shared" si="1"/>
        <v>0</v>
      </c>
      <c r="G12" s="509"/>
    </row>
    <row r="13" spans="1:7" s="103" customFormat="1" ht="23.1" customHeight="1" thickBot="1">
      <c r="A13" s="107"/>
      <c r="B13" s="109" t="s">
        <v>133</v>
      </c>
      <c r="C13" s="336">
        <f>SUM(C5:C12)</f>
        <v>205424</v>
      </c>
      <c r="D13" s="336">
        <f>SUM(D5:D12)</f>
        <v>205424</v>
      </c>
      <c r="E13" s="336">
        <f>SUM(E5:E12)</f>
        <v>0</v>
      </c>
      <c r="F13" s="337">
        <f>SUM(F5:F12)</f>
        <v>0</v>
      </c>
      <c r="G13" s="61"/>
    </row>
    <row r="14" spans="1:7" s="65" customFormat="1" ht="18" customHeight="1">
      <c r="A14" s="318"/>
      <c r="B14" s="1216" t="s">
        <v>359</v>
      </c>
      <c r="C14" s="1217"/>
      <c r="D14" s="1217"/>
      <c r="E14" s="1217"/>
      <c r="F14" s="1218"/>
      <c r="G14" s="63"/>
    </row>
    <row r="15" spans="1:7" s="64" customFormat="1" ht="18.95" customHeight="1">
      <c r="A15" s="105" t="s">
        <v>196</v>
      </c>
      <c r="B15" s="299" t="s">
        <v>194</v>
      </c>
      <c r="C15" s="341">
        <v>0</v>
      </c>
      <c r="D15" s="341">
        <f>C15</f>
        <v>0</v>
      </c>
      <c r="E15" s="341">
        <v>0</v>
      </c>
      <c r="F15" s="342">
        <v>0</v>
      </c>
      <c r="G15" s="63"/>
    </row>
    <row r="16" spans="1:7" s="64" customFormat="1" ht="18.95" customHeight="1">
      <c r="A16" s="62" t="s">
        <v>197</v>
      </c>
      <c r="B16" s="752" t="s">
        <v>195</v>
      </c>
      <c r="C16" s="389">
        <v>0</v>
      </c>
      <c r="D16" s="341">
        <f t="shared" ref="D16:D17" si="2">C16</f>
        <v>0</v>
      </c>
      <c r="E16" s="389">
        <v>0</v>
      </c>
      <c r="F16" s="338">
        <v>0</v>
      </c>
      <c r="G16" s="63"/>
    </row>
    <row r="17" spans="1:7" s="64" customFormat="1" ht="18.95" customHeight="1">
      <c r="A17" s="62" t="s">
        <v>198</v>
      </c>
      <c r="B17" s="752" t="s">
        <v>204</v>
      </c>
      <c r="C17" s="389">
        <v>0</v>
      </c>
      <c r="D17" s="341">
        <f t="shared" si="2"/>
        <v>0</v>
      </c>
      <c r="E17" s="389">
        <v>0</v>
      </c>
      <c r="F17" s="338">
        <v>0</v>
      </c>
      <c r="G17" s="63"/>
    </row>
    <row r="18" spans="1:7" s="64" customFormat="1" ht="18.95" customHeight="1">
      <c r="A18" s="62" t="s">
        <v>199</v>
      </c>
      <c r="B18" s="752" t="s">
        <v>12</v>
      </c>
      <c r="C18" s="389">
        <v>20020</v>
      </c>
      <c r="D18" s="341">
        <v>20020</v>
      </c>
      <c r="E18" s="389">
        <v>0</v>
      </c>
      <c r="F18" s="338">
        <v>0</v>
      </c>
      <c r="G18" s="63"/>
    </row>
    <row r="19" spans="1:7" s="64" customFormat="1" ht="18.95" customHeight="1">
      <c r="A19" s="62" t="s">
        <v>200</v>
      </c>
      <c r="B19" s="752" t="s">
        <v>205</v>
      </c>
      <c r="C19" s="389"/>
      <c r="D19" s="341"/>
      <c r="E19" s="389">
        <v>0</v>
      </c>
      <c r="F19" s="338">
        <v>0</v>
      </c>
      <c r="G19" s="63"/>
    </row>
    <row r="20" spans="1:7" s="64" customFormat="1" ht="18.95" customHeight="1">
      <c r="A20" s="62" t="s">
        <v>201</v>
      </c>
      <c r="B20" s="752" t="s">
        <v>206</v>
      </c>
      <c r="C20" s="389"/>
      <c r="D20" s="341"/>
      <c r="E20" s="389">
        <v>0</v>
      </c>
      <c r="F20" s="338">
        <v>0</v>
      </c>
      <c r="G20" s="63"/>
    </row>
    <row r="21" spans="1:7" s="64" customFormat="1" ht="18.95" customHeight="1">
      <c r="A21" s="62" t="s">
        <v>202</v>
      </c>
      <c r="B21" s="752" t="s">
        <v>207</v>
      </c>
      <c r="C21" s="389"/>
      <c r="D21" s="341"/>
      <c r="E21" s="389">
        <v>0</v>
      </c>
      <c r="F21" s="338">
        <v>0</v>
      </c>
      <c r="G21" s="63"/>
    </row>
    <row r="22" spans="1:7" s="64" customFormat="1" ht="18.95" customHeight="1" thickBot="1">
      <c r="A22" s="385" t="s">
        <v>203</v>
      </c>
      <c r="B22" s="390" t="s">
        <v>208</v>
      </c>
      <c r="C22" s="391">
        <v>115636</v>
      </c>
      <c r="D22" s="341">
        <f>C22</f>
        <v>115636</v>
      </c>
      <c r="E22" s="391">
        <v>0</v>
      </c>
      <c r="F22" s="392">
        <v>0</v>
      </c>
      <c r="G22" s="63"/>
    </row>
    <row r="23" spans="1:7" s="65" customFormat="1" ht="23.1" customHeight="1" thickBot="1">
      <c r="A23" s="107"/>
      <c r="B23" s="108" t="s">
        <v>133</v>
      </c>
      <c r="C23" s="339">
        <f>SUM(C15:C22)</f>
        <v>135656</v>
      </c>
      <c r="D23" s="339">
        <f>SUM(D15:D22)</f>
        <v>135656</v>
      </c>
      <c r="E23" s="339">
        <f>SUM(E15:E22)</f>
        <v>0</v>
      </c>
      <c r="F23" s="340">
        <f>SUM(F15:F22)</f>
        <v>0</v>
      </c>
      <c r="G23" s="63"/>
    </row>
    <row r="24" spans="1:7" s="65" customFormat="1" ht="18" customHeight="1">
      <c r="A24" s="318"/>
      <c r="B24" s="1216" t="s">
        <v>360</v>
      </c>
      <c r="C24" s="1217"/>
      <c r="D24" s="1217"/>
      <c r="E24" s="1217"/>
      <c r="F24" s="1218"/>
      <c r="G24" s="63"/>
    </row>
    <row r="25" spans="1:7" s="64" customFormat="1" ht="18.95" customHeight="1">
      <c r="A25" s="105" t="s">
        <v>196</v>
      </c>
      <c r="B25" s="299" t="s">
        <v>194</v>
      </c>
      <c r="C25" s="341">
        <v>0</v>
      </c>
      <c r="D25" s="341">
        <f>C25</f>
        <v>0</v>
      </c>
      <c r="E25" s="341">
        <v>0</v>
      </c>
      <c r="F25" s="342">
        <v>0</v>
      </c>
      <c r="G25" s="63"/>
    </row>
    <row r="26" spans="1:7" s="64" customFormat="1" ht="18.95" customHeight="1">
      <c r="A26" s="62" t="s">
        <v>197</v>
      </c>
      <c r="B26" s="752" t="s">
        <v>195</v>
      </c>
      <c r="C26" s="389">
        <v>0</v>
      </c>
      <c r="D26" s="341">
        <f t="shared" ref="D26:D27" si="3">C26</f>
        <v>0</v>
      </c>
      <c r="E26" s="389">
        <v>0</v>
      </c>
      <c r="F26" s="338">
        <v>0</v>
      </c>
      <c r="G26" s="63"/>
    </row>
    <row r="27" spans="1:7" s="64" customFormat="1" ht="18.95" customHeight="1">
      <c r="A27" s="62" t="s">
        <v>198</v>
      </c>
      <c r="B27" s="752" t="s">
        <v>204</v>
      </c>
      <c r="C27" s="389">
        <v>0</v>
      </c>
      <c r="D27" s="341">
        <f t="shared" si="3"/>
        <v>0</v>
      </c>
      <c r="E27" s="389">
        <v>0</v>
      </c>
      <c r="F27" s="338">
        <v>0</v>
      </c>
      <c r="G27" s="63"/>
    </row>
    <row r="28" spans="1:7" s="64" customFormat="1" ht="18.95" customHeight="1">
      <c r="A28" s="62" t="s">
        <v>199</v>
      </c>
      <c r="B28" s="752" t="s">
        <v>12</v>
      </c>
      <c r="C28" s="389">
        <v>1000</v>
      </c>
      <c r="D28" s="341">
        <v>1000</v>
      </c>
      <c r="E28" s="389">
        <v>0</v>
      </c>
      <c r="F28" s="338">
        <v>0</v>
      </c>
      <c r="G28" s="63"/>
    </row>
    <row r="29" spans="1:7" s="64" customFormat="1" ht="18.95" customHeight="1">
      <c r="A29" s="62" t="s">
        <v>200</v>
      </c>
      <c r="B29" s="752" t="s">
        <v>205</v>
      </c>
      <c r="C29" s="389"/>
      <c r="D29" s="341"/>
      <c r="E29" s="389">
        <v>0</v>
      </c>
      <c r="F29" s="338">
        <v>0</v>
      </c>
      <c r="G29" s="63"/>
    </row>
    <row r="30" spans="1:7" s="64" customFormat="1" ht="18.95" customHeight="1">
      <c r="A30" s="62" t="s">
        <v>201</v>
      </c>
      <c r="B30" s="752" t="s">
        <v>206</v>
      </c>
      <c r="C30" s="389"/>
      <c r="D30" s="341"/>
      <c r="E30" s="389">
        <v>0</v>
      </c>
      <c r="F30" s="338">
        <v>0</v>
      </c>
      <c r="G30" s="63"/>
    </row>
    <row r="31" spans="1:7" s="64" customFormat="1" ht="18.95" customHeight="1">
      <c r="A31" s="62" t="s">
        <v>202</v>
      </c>
      <c r="B31" s="752" t="s">
        <v>207</v>
      </c>
      <c r="C31" s="389"/>
      <c r="D31" s="341"/>
      <c r="E31" s="389">
        <v>0</v>
      </c>
      <c r="F31" s="338">
        <v>0</v>
      </c>
      <c r="G31" s="63"/>
    </row>
    <row r="32" spans="1:7" s="64" customFormat="1" ht="34.5" customHeight="1" thickBot="1">
      <c r="A32" s="385" t="s">
        <v>203</v>
      </c>
      <c r="B32" s="390" t="s">
        <v>208</v>
      </c>
      <c r="C32" s="391">
        <v>41349</v>
      </c>
      <c r="D32" s="341">
        <f>C32</f>
        <v>41349</v>
      </c>
      <c r="E32" s="391">
        <v>0</v>
      </c>
      <c r="F32" s="392">
        <v>0</v>
      </c>
      <c r="G32" s="509" t="s">
        <v>741</v>
      </c>
    </row>
    <row r="33" spans="1:7" s="65" customFormat="1" ht="23.1" customHeight="1" thickBot="1">
      <c r="A33" s="107"/>
      <c r="B33" s="108" t="s">
        <v>133</v>
      </c>
      <c r="C33" s="339">
        <f>SUM(C25:C32)</f>
        <v>42349</v>
      </c>
      <c r="D33" s="339">
        <f>SUM(D25:D32)</f>
        <v>42349</v>
      </c>
      <c r="E33" s="339">
        <f>SUM(E25:E32)</f>
        <v>0</v>
      </c>
      <c r="F33" s="340">
        <f>SUM(F25:F32)</f>
        <v>0</v>
      </c>
      <c r="G33" s="63"/>
    </row>
    <row r="34" spans="1:7" s="65" customFormat="1" ht="18" customHeight="1">
      <c r="A34" s="110"/>
      <c r="B34" s="330" t="s">
        <v>361</v>
      </c>
      <c r="C34" s="331"/>
      <c r="D34" s="331"/>
      <c r="E34" s="331"/>
      <c r="F34" s="332"/>
      <c r="G34" s="63"/>
    </row>
    <row r="35" spans="1:7" s="64" customFormat="1" ht="18.95" customHeight="1">
      <c r="A35" s="62" t="s">
        <v>196</v>
      </c>
      <c r="B35" s="299" t="s">
        <v>194</v>
      </c>
      <c r="C35" s="341">
        <v>0</v>
      </c>
      <c r="D35" s="341">
        <f>C35</f>
        <v>0</v>
      </c>
      <c r="E35" s="341">
        <v>0</v>
      </c>
      <c r="F35" s="342">
        <v>0</v>
      </c>
      <c r="G35" s="63"/>
    </row>
    <row r="36" spans="1:7" s="64" customFormat="1" ht="18.95" customHeight="1">
      <c r="A36" s="62" t="s">
        <v>197</v>
      </c>
      <c r="B36" s="752" t="s">
        <v>195</v>
      </c>
      <c r="C36" s="389">
        <v>0</v>
      </c>
      <c r="D36" s="341">
        <f t="shared" ref="D36:D37" si="4">C36</f>
        <v>0</v>
      </c>
      <c r="E36" s="389">
        <v>0</v>
      </c>
      <c r="F36" s="338">
        <v>0</v>
      </c>
      <c r="G36" s="63"/>
    </row>
    <row r="37" spans="1:7" s="64" customFormat="1" ht="18.95" customHeight="1">
      <c r="A37" s="62" t="s">
        <v>198</v>
      </c>
      <c r="B37" s="752" t="s">
        <v>204</v>
      </c>
      <c r="C37" s="389">
        <v>0</v>
      </c>
      <c r="D37" s="341">
        <f t="shared" si="4"/>
        <v>0</v>
      </c>
      <c r="E37" s="389">
        <v>0</v>
      </c>
      <c r="F37" s="338">
        <v>0</v>
      </c>
      <c r="G37" s="63"/>
    </row>
    <row r="38" spans="1:7" s="64" customFormat="1" ht="18.95" customHeight="1">
      <c r="A38" s="62" t="s">
        <v>199</v>
      </c>
      <c r="B38" s="752" t="s">
        <v>12</v>
      </c>
      <c r="C38" s="389">
        <v>1524</v>
      </c>
      <c r="D38" s="341">
        <v>1524</v>
      </c>
      <c r="E38" s="389">
        <v>0</v>
      </c>
      <c r="F38" s="338">
        <v>0</v>
      </c>
      <c r="G38" s="63"/>
    </row>
    <row r="39" spans="1:7" s="64" customFormat="1" ht="18.95" customHeight="1">
      <c r="A39" s="62" t="s">
        <v>200</v>
      </c>
      <c r="B39" s="752" t="s">
        <v>205</v>
      </c>
      <c r="C39" s="389"/>
      <c r="D39" s="341"/>
      <c r="E39" s="389">
        <v>0</v>
      </c>
      <c r="F39" s="338">
        <v>0</v>
      </c>
      <c r="G39" s="63"/>
    </row>
    <row r="40" spans="1:7" s="64" customFormat="1" ht="18.95" customHeight="1">
      <c r="A40" s="62" t="s">
        <v>201</v>
      </c>
      <c r="B40" s="752" t="s">
        <v>206</v>
      </c>
      <c r="C40" s="389"/>
      <c r="D40" s="341"/>
      <c r="E40" s="389">
        <v>0</v>
      </c>
      <c r="F40" s="338">
        <v>0</v>
      </c>
      <c r="G40" s="63"/>
    </row>
    <row r="41" spans="1:7" s="64" customFormat="1" ht="18.95" customHeight="1">
      <c r="A41" s="62" t="s">
        <v>202</v>
      </c>
      <c r="B41" s="752" t="s">
        <v>207</v>
      </c>
      <c r="C41" s="389"/>
      <c r="D41" s="341"/>
      <c r="E41" s="389">
        <v>0</v>
      </c>
      <c r="F41" s="338">
        <v>0</v>
      </c>
      <c r="G41" s="63"/>
    </row>
    <row r="42" spans="1:7" s="64" customFormat="1" ht="24.75" customHeight="1" thickBot="1">
      <c r="A42" s="385" t="s">
        <v>203</v>
      </c>
      <c r="B42" s="390" t="s">
        <v>208</v>
      </c>
      <c r="C42" s="391">
        <v>25895</v>
      </c>
      <c r="D42" s="341">
        <f>C42</f>
        <v>25895</v>
      </c>
      <c r="E42" s="391">
        <v>0</v>
      </c>
      <c r="F42" s="392">
        <v>0</v>
      </c>
      <c r="G42" s="509" t="s">
        <v>746</v>
      </c>
    </row>
    <row r="43" spans="1:7" s="65" customFormat="1" ht="25.5" customHeight="1" thickBot="1">
      <c r="A43" s="107"/>
      <c r="B43" s="108" t="s">
        <v>133</v>
      </c>
      <c r="C43" s="339">
        <f>SUM(C35:C42)</f>
        <v>27419</v>
      </c>
      <c r="D43" s="339">
        <f>SUM(D35:D42)</f>
        <v>27419</v>
      </c>
      <c r="E43" s="339">
        <f>SUM(E35:E42)</f>
        <v>0</v>
      </c>
      <c r="F43" s="340">
        <f>SUM(F35:F42)</f>
        <v>0</v>
      </c>
      <c r="G43" s="63"/>
    </row>
    <row r="44" spans="1:7" s="70" customFormat="1" ht="33" customHeight="1" thickBot="1">
      <c r="A44" s="755" t="s">
        <v>125</v>
      </c>
      <c r="B44" s="1210" t="s">
        <v>293</v>
      </c>
      <c r="C44" s="1211"/>
      <c r="D44" s="1211"/>
      <c r="E44" s="1211"/>
      <c r="F44" s="1212"/>
      <c r="G44" s="69"/>
    </row>
    <row r="45" spans="1:7" s="17" customFormat="1" ht="17.45" customHeight="1">
      <c r="A45" s="105" t="s">
        <v>196</v>
      </c>
      <c r="B45" s="106" t="s">
        <v>194</v>
      </c>
      <c r="C45" s="334"/>
      <c r="D45" s="334">
        <v>0</v>
      </c>
      <c r="E45" s="334">
        <v>0</v>
      </c>
      <c r="F45" s="335">
        <v>0</v>
      </c>
      <c r="G45" s="61"/>
    </row>
    <row r="46" spans="1:7" s="17" customFormat="1" ht="17.45" customHeight="1">
      <c r="A46" s="62" t="s">
        <v>197</v>
      </c>
      <c r="B46" s="751" t="s">
        <v>195</v>
      </c>
      <c r="C46" s="384">
        <v>0</v>
      </c>
      <c r="D46" s="384">
        <v>0</v>
      </c>
      <c r="E46" s="384">
        <v>0</v>
      </c>
      <c r="F46" s="333">
        <v>0</v>
      </c>
      <c r="G46" s="61"/>
    </row>
    <row r="47" spans="1:7" s="17" customFormat="1" ht="17.45" customHeight="1">
      <c r="A47" s="62" t="s">
        <v>198</v>
      </c>
      <c r="B47" s="751" t="s">
        <v>204</v>
      </c>
      <c r="C47" s="384">
        <v>0</v>
      </c>
      <c r="D47" s="384">
        <v>0</v>
      </c>
      <c r="E47" s="384">
        <v>0</v>
      </c>
      <c r="F47" s="333">
        <v>0</v>
      </c>
      <c r="G47" s="61"/>
    </row>
    <row r="48" spans="1:7" s="17" customFormat="1" ht="17.45" customHeight="1">
      <c r="A48" s="62" t="s">
        <v>199</v>
      </c>
      <c r="B48" s="751" t="s">
        <v>12</v>
      </c>
      <c r="C48" s="334">
        <v>59925</v>
      </c>
      <c r="D48" s="384">
        <f>C48</f>
        <v>59925</v>
      </c>
      <c r="E48" s="384">
        <v>0</v>
      </c>
      <c r="F48" s="333">
        <v>0</v>
      </c>
      <c r="G48" s="61"/>
    </row>
    <row r="49" spans="1:7" s="17" customFormat="1" ht="17.45" customHeight="1">
      <c r="A49" s="62" t="s">
        <v>200</v>
      </c>
      <c r="B49" s="751" t="s">
        <v>205</v>
      </c>
      <c r="C49" s="384"/>
      <c r="D49" s="384"/>
      <c r="E49" s="384">
        <v>0</v>
      </c>
      <c r="F49" s="333">
        <v>0</v>
      </c>
      <c r="G49" s="61"/>
    </row>
    <row r="50" spans="1:7" s="17" customFormat="1" ht="17.45" customHeight="1">
      <c r="A50" s="62" t="s">
        <v>201</v>
      </c>
      <c r="B50" s="751" t="s">
        <v>206</v>
      </c>
      <c r="C50" s="384"/>
      <c r="D50" s="384"/>
      <c r="E50" s="384">
        <v>0</v>
      </c>
      <c r="F50" s="333">
        <v>0</v>
      </c>
      <c r="G50" s="61"/>
    </row>
    <row r="51" spans="1:7" s="17" customFormat="1" ht="17.45" customHeight="1">
      <c r="A51" s="62" t="s">
        <v>202</v>
      </c>
      <c r="B51" s="751" t="s">
        <v>207</v>
      </c>
      <c r="C51" s="384"/>
      <c r="D51" s="384"/>
      <c r="E51" s="384">
        <v>0</v>
      </c>
      <c r="F51" s="333">
        <v>0</v>
      </c>
      <c r="G51" s="61"/>
    </row>
    <row r="52" spans="1:7" s="17" customFormat="1" ht="26.25" thickBot="1">
      <c r="A52" s="385" t="s">
        <v>203</v>
      </c>
      <c r="B52" s="386" t="s">
        <v>208</v>
      </c>
      <c r="C52" s="507">
        <f>326214+5173+18000</f>
        <v>349387</v>
      </c>
      <c r="D52" s="384">
        <f>C52</f>
        <v>349387</v>
      </c>
      <c r="E52" s="387">
        <v>0</v>
      </c>
      <c r="F52" s="388">
        <v>0</v>
      </c>
      <c r="G52" s="509" t="s">
        <v>742</v>
      </c>
    </row>
    <row r="53" spans="1:7" s="103" customFormat="1" ht="21" customHeight="1" thickBot="1">
      <c r="A53" s="107"/>
      <c r="B53" s="109" t="s">
        <v>133</v>
      </c>
      <c r="C53" s="336">
        <f>SUM(C45:C52)</f>
        <v>409312</v>
      </c>
      <c r="D53" s="336">
        <f>SUM(D45:D52)</f>
        <v>409312</v>
      </c>
      <c r="E53" s="336">
        <f>SUM(E45:E52)</f>
        <v>0</v>
      </c>
      <c r="F53" s="337">
        <f>SUM(F45:F52)</f>
        <v>0</v>
      </c>
      <c r="G53" s="61"/>
    </row>
    <row r="54" spans="1:7" s="73" customFormat="1" ht="33" customHeight="1" thickBot="1">
      <c r="A54" s="125" t="s">
        <v>136</v>
      </c>
      <c r="B54" s="1213" t="s">
        <v>386</v>
      </c>
      <c r="C54" s="1214"/>
      <c r="D54" s="1214"/>
      <c r="E54" s="1214"/>
      <c r="F54" s="1215"/>
      <c r="G54" s="71"/>
    </row>
    <row r="55" spans="1:7" s="64" customFormat="1" ht="17.45" customHeight="1">
      <c r="A55" s="105" t="s">
        <v>196</v>
      </c>
      <c r="B55" s="106" t="s">
        <v>194</v>
      </c>
      <c r="C55" s="334">
        <v>0</v>
      </c>
      <c r="D55" s="334">
        <v>0</v>
      </c>
      <c r="E55" s="334">
        <v>0</v>
      </c>
      <c r="F55" s="335">
        <v>0</v>
      </c>
      <c r="G55" s="63"/>
    </row>
    <row r="56" spans="1:7" s="64" customFormat="1" ht="17.45" customHeight="1">
      <c r="A56" s="62" t="s">
        <v>197</v>
      </c>
      <c r="B56" s="751" t="s">
        <v>195</v>
      </c>
      <c r="C56" s="384">
        <v>0</v>
      </c>
      <c r="D56" s="384">
        <v>0</v>
      </c>
      <c r="E56" s="384">
        <v>0</v>
      </c>
      <c r="F56" s="333">
        <v>0</v>
      </c>
      <c r="G56" s="63"/>
    </row>
    <row r="57" spans="1:7" s="64" customFormat="1" ht="17.45" customHeight="1">
      <c r="A57" s="62" t="s">
        <v>198</v>
      </c>
      <c r="B57" s="751" t="s">
        <v>204</v>
      </c>
      <c r="C57" s="384">
        <v>0</v>
      </c>
      <c r="D57" s="384">
        <v>0</v>
      </c>
      <c r="E57" s="384">
        <v>0</v>
      </c>
      <c r="F57" s="333">
        <v>0</v>
      </c>
      <c r="G57" s="63"/>
    </row>
    <row r="58" spans="1:7" s="64" customFormat="1" ht="17.45" customHeight="1">
      <c r="A58" s="62" t="s">
        <v>199</v>
      </c>
      <c r="B58" s="751" t="s">
        <v>12</v>
      </c>
      <c r="C58" s="384">
        <v>0</v>
      </c>
      <c r="D58" s="384">
        <v>0</v>
      </c>
      <c r="E58" s="384">
        <v>0</v>
      </c>
      <c r="F58" s="333">
        <v>0</v>
      </c>
      <c r="G58" s="63"/>
    </row>
    <row r="59" spans="1:7" s="64" customFormat="1" ht="17.45" customHeight="1">
      <c r="A59" s="62" t="s">
        <v>200</v>
      </c>
      <c r="B59" s="751" t="s">
        <v>205</v>
      </c>
      <c r="C59" s="384">
        <v>0</v>
      </c>
      <c r="D59" s="384">
        <v>0</v>
      </c>
      <c r="E59" s="384">
        <v>0</v>
      </c>
      <c r="F59" s="333">
        <v>0</v>
      </c>
      <c r="G59" s="63"/>
    </row>
    <row r="60" spans="1:7" s="64" customFormat="1" ht="17.45" customHeight="1">
      <c r="A60" s="62" t="s">
        <v>201</v>
      </c>
      <c r="B60" s="751" t="s">
        <v>206</v>
      </c>
      <c r="C60" s="384">
        <v>0</v>
      </c>
      <c r="D60" s="384">
        <v>0</v>
      </c>
      <c r="E60" s="384">
        <v>0</v>
      </c>
      <c r="F60" s="333">
        <v>0</v>
      </c>
      <c r="G60" s="63"/>
    </row>
    <row r="61" spans="1:7" s="64" customFormat="1" ht="17.45" customHeight="1">
      <c r="A61" s="62" t="s">
        <v>202</v>
      </c>
      <c r="B61" s="751" t="s">
        <v>207</v>
      </c>
      <c r="C61" s="384">
        <v>0</v>
      </c>
      <c r="D61" s="384">
        <v>0</v>
      </c>
      <c r="E61" s="384">
        <v>0</v>
      </c>
      <c r="F61" s="333">
        <v>0</v>
      </c>
      <c r="G61" s="63"/>
    </row>
    <row r="62" spans="1:7" s="17" customFormat="1" ht="26.25" thickBot="1">
      <c r="A62" s="385" t="s">
        <v>203</v>
      </c>
      <c r="B62" s="386" t="s">
        <v>208</v>
      </c>
      <c r="C62" s="387">
        <v>380342</v>
      </c>
      <c r="D62" s="387">
        <v>380342</v>
      </c>
      <c r="E62" s="387">
        <v>0</v>
      </c>
      <c r="F62" s="388">
        <v>0</v>
      </c>
      <c r="G62" s="509" t="s">
        <v>751</v>
      </c>
    </row>
    <row r="63" spans="1:7" s="103" customFormat="1" ht="21" customHeight="1" thickBot="1">
      <c r="A63" s="107"/>
      <c r="B63" s="109" t="s">
        <v>133</v>
      </c>
      <c r="C63" s="336">
        <f>SUM(C55:C62)</f>
        <v>380342</v>
      </c>
      <c r="D63" s="336">
        <f>SUM(D55:D62)</f>
        <v>380342</v>
      </c>
      <c r="E63" s="336">
        <f>SUM(E55:E62)</f>
        <v>0</v>
      </c>
      <c r="F63" s="337">
        <f>SUM(F55:F62)</f>
        <v>0</v>
      </c>
      <c r="G63" s="61"/>
    </row>
    <row r="64" spans="1:7" s="73" customFormat="1" ht="30.95" customHeight="1" thickBot="1">
      <c r="A64" s="126" t="s">
        <v>137</v>
      </c>
      <c r="B64" s="1223" t="s">
        <v>276</v>
      </c>
      <c r="C64" s="1224"/>
      <c r="D64" s="1224"/>
      <c r="E64" s="1224"/>
      <c r="F64" s="1225"/>
      <c r="G64" s="71"/>
    </row>
    <row r="65" spans="1:7" s="64" customFormat="1" ht="15.6" customHeight="1">
      <c r="A65" s="318" t="s">
        <v>196</v>
      </c>
      <c r="B65" s="501" t="s">
        <v>194</v>
      </c>
      <c r="C65" s="924">
        <f>C75+C85+C95+C105</f>
        <v>0</v>
      </c>
      <c r="D65" s="924">
        <f t="shared" ref="D65:F65" si="5">D75+D85+D95+D105</f>
        <v>0</v>
      </c>
      <c r="E65" s="924">
        <f t="shared" si="5"/>
        <v>0</v>
      </c>
      <c r="F65" s="753">
        <f t="shared" si="5"/>
        <v>0</v>
      </c>
      <c r="G65" s="63"/>
    </row>
    <row r="66" spans="1:7" s="64" customFormat="1" ht="15.6" customHeight="1">
      <c r="A66" s="62" t="s">
        <v>197</v>
      </c>
      <c r="B66" s="751" t="s">
        <v>195</v>
      </c>
      <c r="C66" s="334">
        <f t="shared" ref="C66:F66" si="6">C76+C86+C96+C106</f>
        <v>0</v>
      </c>
      <c r="D66" s="334">
        <f t="shared" si="6"/>
        <v>0</v>
      </c>
      <c r="E66" s="334">
        <f t="shared" si="6"/>
        <v>0</v>
      </c>
      <c r="F66" s="335">
        <f t="shared" si="6"/>
        <v>0</v>
      </c>
      <c r="G66" s="63"/>
    </row>
    <row r="67" spans="1:7" s="64" customFormat="1" ht="15.6" customHeight="1">
      <c r="A67" s="62" t="s">
        <v>198</v>
      </c>
      <c r="B67" s="751" t="s">
        <v>204</v>
      </c>
      <c r="C67" s="334">
        <f t="shared" ref="C67:F67" si="7">C77+C87+C97+C107</f>
        <v>0</v>
      </c>
      <c r="D67" s="334">
        <f t="shared" si="7"/>
        <v>0</v>
      </c>
      <c r="E67" s="334">
        <f t="shared" si="7"/>
        <v>0</v>
      </c>
      <c r="F67" s="335">
        <f t="shared" si="7"/>
        <v>0</v>
      </c>
      <c r="G67" s="63"/>
    </row>
    <row r="68" spans="1:7" s="64" customFormat="1" ht="15.6" customHeight="1">
      <c r="A68" s="62" t="s">
        <v>199</v>
      </c>
      <c r="B68" s="751" t="s">
        <v>12</v>
      </c>
      <c r="C68" s="334">
        <f>C78+C88+C98+C108</f>
        <v>46461</v>
      </c>
      <c r="D68" s="334">
        <f t="shared" ref="D68:F68" si="8">D78+D88+D98+D108</f>
        <v>46461</v>
      </c>
      <c r="E68" s="334">
        <f t="shared" si="8"/>
        <v>0</v>
      </c>
      <c r="F68" s="335">
        <f t="shared" si="8"/>
        <v>0</v>
      </c>
      <c r="G68" s="63"/>
    </row>
    <row r="69" spans="1:7" s="64" customFormat="1" ht="15.6" customHeight="1">
      <c r="A69" s="62" t="s">
        <v>200</v>
      </c>
      <c r="B69" s="751" t="s">
        <v>205</v>
      </c>
      <c r="C69" s="334">
        <f t="shared" ref="C69:F69" si="9">C79+C89+C99+C109</f>
        <v>0</v>
      </c>
      <c r="D69" s="334">
        <f t="shared" si="9"/>
        <v>0</v>
      </c>
      <c r="E69" s="334">
        <f t="shared" si="9"/>
        <v>0</v>
      </c>
      <c r="F69" s="335">
        <f t="shared" si="9"/>
        <v>0</v>
      </c>
      <c r="G69" s="63"/>
    </row>
    <row r="70" spans="1:7" s="64" customFormat="1" ht="15.6" customHeight="1">
      <c r="A70" s="62" t="s">
        <v>201</v>
      </c>
      <c r="B70" s="751" t="s">
        <v>206</v>
      </c>
      <c r="C70" s="334">
        <f t="shared" ref="C70:F70" si="10">C80+C90+C100+C110</f>
        <v>0</v>
      </c>
      <c r="D70" s="334">
        <f t="shared" si="10"/>
        <v>0</v>
      </c>
      <c r="E70" s="334">
        <f t="shared" si="10"/>
        <v>0</v>
      </c>
      <c r="F70" s="335">
        <f t="shared" si="10"/>
        <v>0</v>
      </c>
      <c r="G70" s="63"/>
    </row>
    <row r="71" spans="1:7" s="64" customFormat="1" ht="15.6" customHeight="1">
      <c r="A71" s="62" t="s">
        <v>202</v>
      </c>
      <c r="B71" s="751" t="s">
        <v>207</v>
      </c>
      <c r="C71" s="334">
        <f t="shared" ref="C71:F71" si="11">C81+C91+C101+C111</f>
        <v>0</v>
      </c>
      <c r="D71" s="334">
        <f t="shared" si="11"/>
        <v>0</v>
      </c>
      <c r="E71" s="334">
        <f t="shared" si="11"/>
        <v>0</v>
      </c>
      <c r="F71" s="335">
        <f t="shared" si="11"/>
        <v>0</v>
      </c>
      <c r="G71" s="63"/>
    </row>
    <row r="72" spans="1:7" s="17" customFormat="1" ht="13.5" thickBot="1">
      <c r="A72" s="505" t="s">
        <v>203</v>
      </c>
      <c r="B72" s="506" t="s">
        <v>208</v>
      </c>
      <c r="C72" s="507">
        <f t="shared" ref="C72:F72" si="12">C82+C92+C102+C112</f>
        <v>212154</v>
      </c>
      <c r="D72" s="507">
        <f t="shared" si="12"/>
        <v>212154</v>
      </c>
      <c r="E72" s="507">
        <f t="shared" si="12"/>
        <v>0</v>
      </c>
      <c r="F72" s="923">
        <f t="shared" si="12"/>
        <v>0</v>
      </c>
      <c r="G72" s="509"/>
    </row>
    <row r="73" spans="1:7" s="65" customFormat="1" ht="17.100000000000001" customHeight="1" thickBot="1">
      <c r="A73" s="107"/>
      <c r="B73" s="109" t="s">
        <v>133</v>
      </c>
      <c r="C73" s="336">
        <f>SUM(C65:C72)</f>
        <v>258615</v>
      </c>
      <c r="D73" s="336">
        <f>SUM(D65:D72)</f>
        <v>258615</v>
      </c>
      <c r="E73" s="336">
        <f>SUM(E65:E72)</f>
        <v>0</v>
      </c>
      <c r="F73" s="337">
        <f>SUM(F65:F72)</f>
        <v>0</v>
      </c>
      <c r="G73" s="63"/>
    </row>
    <row r="74" spans="1:7" s="72" customFormat="1" ht="17.100000000000001" customHeight="1">
      <c r="A74" s="99"/>
      <c r="B74" s="1220" t="s">
        <v>525</v>
      </c>
      <c r="C74" s="1226"/>
      <c r="D74" s="1226"/>
      <c r="E74" s="1226"/>
      <c r="F74" s="1227"/>
      <c r="G74" s="71"/>
    </row>
    <row r="75" spans="1:7" s="64" customFormat="1" ht="15.6" customHeight="1">
      <c r="A75" s="62" t="s">
        <v>196</v>
      </c>
      <c r="B75" s="752" t="s">
        <v>194</v>
      </c>
      <c r="C75" s="389">
        <v>0</v>
      </c>
      <c r="D75" s="389">
        <v>0</v>
      </c>
      <c r="E75" s="389">
        <v>0</v>
      </c>
      <c r="F75" s="338">
        <v>0</v>
      </c>
      <c r="G75" s="63"/>
    </row>
    <row r="76" spans="1:7" s="64" customFormat="1" ht="15.6" customHeight="1">
      <c r="A76" s="62" t="s">
        <v>197</v>
      </c>
      <c r="B76" s="752" t="s">
        <v>195</v>
      </c>
      <c r="C76" s="389">
        <v>0</v>
      </c>
      <c r="D76" s="389">
        <v>0</v>
      </c>
      <c r="E76" s="389">
        <v>0</v>
      </c>
      <c r="F76" s="338">
        <v>0</v>
      </c>
      <c r="G76" s="63"/>
    </row>
    <row r="77" spans="1:7" s="64" customFormat="1" ht="15.6" customHeight="1">
      <c r="A77" s="62" t="s">
        <v>198</v>
      </c>
      <c r="B77" s="752" t="s">
        <v>204</v>
      </c>
      <c r="C77" s="389">
        <v>0</v>
      </c>
      <c r="D77" s="389">
        <v>0</v>
      </c>
      <c r="E77" s="389">
        <v>0</v>
      </c>
      <c r="F77" s="338">
        <v>0</v>
      </c>
      <c r="G77" s="63"/>
    </row>
    <row r="78" spans="1:7" s="64" customFormat="1" ht="15.6" customHeight="1">
      <c r="A78" s="62" t="s">
        <v>199</v>
      </c>
      <c r="B78" s="752" t="s">
        <v>12</v>
      </c>
      <c r="C78" s="389"/>
      <c r="D78" s="389"/>
      <c r="E78" s="389">
        <v>0</v>
      </c>
      <c r="F78" s="338">
        <v>0</v>
      </c>
      <c r="G78" s="63"/>
    </row>
    <row r="79" spans="1:7" s="64" customFormat="1" ht="15.6" customHeight="1">
      <c r="A79" s="62" t="s">
        <v>200</v>
      </c>
      <c r="B79" s="752" t="s">
        <v>205</v>
      </c>
      <c r="C79" s="389"/>
      <c r="D79" s="389"/>
      <c r="E79" s="389">
        <v>0</v>
      </c>
      <c r="F79" s="338">
        <v>0</v>
      </c>
      <c r="G79" s="63"/>
    </row>
    <row r="80" spans="1:7" s="64" customFormat="1" ht="15.6" customHeight="1">
      <c r="A80" s="62" t="s">
        <v>201</v>
      </c>
      <c r="B80" s="752" t="s">
        <v>206</v>
      </c>
      <c r="C80" s="389"/>
      <c r="D80" s="389"/>
      <c r="E80" s="389">
        <v>0</v>
      </c>
      <c r="F80" s="338">
        <v>0</v>
      </c>
      <c r="G80" s="63"/>
    </row>
    <row r="81" spans="1:7" s="64" customFormat="1" ht="15.6" customHeight="1">
      <c r="A81" s="62" t="s">
        <v>202</v>
      </c>
      <c r="B81" s="752" t="s">
        <v>207</v>
      </c>
      <c r="C81" s="389"/>
      <c r="D81" s="389"/>
      <c r="E81" s="389">
        <v>0</v>
      </c>
      <c r="F81" s="338">
        <v>0</v>
      </c>
      <c r="G81" s="63"/>
    </row>
    <row r="82" spans="1:7" s="64" customFormat="1" ht="15.6" customHeight="1" thickBot="1">
      <c r="A82" s="385" t="s">
        <v>203</v>
      </c>
      <c r="B82" s="390" t="s">
        <v>208</v>
      </c>
      <c r="C82" s="391">
        <v>31943</v>
      </c>
      <c r="D82" s="391">
        <f>C82</f>
        <v>31943</v>
      </c>
      <c r="E82" s="391">
        <v>0</v>
      </c>
      <c r="F82" s="392">
        <v>0</v>
      </c>
      <c r="G82" s="63"/>
    </row>
    <row r="83" spans="1:7" s="65" customFormat="1" ht="17.100000000000001" customHeight="1" thickBot="1">
      <c r="A83" s="107"/>
      <c r="B83" s="108" t="s">
        <v>133</v>
      </c>
      <c r="C83" s="339">
        <f>SUM(C75:C82)</f>
        <v>31943</v>
      </c>
      <c r="D83" s="339">
        <f t="shared" ref="D83:F83" si="13">SUM(D75:D82)</f>
        <v>31943</v>
      </c>
      <c r="E83" s="339">
        <f t="shared" si="13"/>
        <v>0</v>
      </c>
      <c r="F83" s="340">
        <f t="shared" si="13"/>
        <v>0</v>
      </c>
      <c r="G83" s="63"/>
    </row>
    <row r="84" spans="1:7" s="73" customFormat="1" ht="17.100000000000001" customHeight="1">
      <c r="A84" s="99"/>
      <c r="B84" s="1220" t="s">
        <v>526</v>
      </c>
      <c r="C84" s="1228"/>
      <c r="D84" s="1228"/>
      <c r="E84" s="1228"/>
      <c r="F84" s="1229"/>
      <c r="G84" s="71"/>
    </row>
    <row r="85" spans="1:7" s="64" customFormat="1" ht="15.6" customHeight="1">
      <c r="A85" s="62" t="s">
        <v>196</v>
      </c>
      <c r="B85" s="752" t="s">
        <v>194</v>
      </c>
      <c r="C85" s="389">
        <v>0</v>
      </c>
      <c r="D85" s="389">
        <f>C85</f>
        <v>0</v>
      </c>
      <c r="E85" s="389">
        <v>0</v>
      </c>
      <c r="F85" s="338">
        <v>0</v>
      </c>
      <c r="G85" s="63"/>
    </row>
    <row r="86" spans="1:7" s="64" customFormat="1" ht="15.6" customHeight="1">
      <c r="A86" s="62" t="s">
        <v>197</v>
      </c>
      <c r="B86" s="752" t="s">
        <v>195</v>
      </c>
      <c r="C86" s="389">
        <v>0</v>
      </c>
      <c r="D86" s="389">
        <f t="shared" ref="D86:D87" si="14">C86</f>
        <v>0</v>
      </c>
      <c r="E86" s="389">
        <v>0</v>
      </c>
      <c r="F86" s="338">
        <v>0</v>
      </c>
      <c r="G86" s="63"/>
    </row>
    <row r="87" spans="1:7" s="64" customFormat="1" ht="15.6" customHeight="1">
      <c r="A87" s="62" t="s">
        <v>198</v>
      </c>
      <c r="B87" s="752" t="s">
        <v>204</v>
      </c>
      <c r="C87" s="389">
        <v>0</v>
      </c>
      <c r="D87" s="389">
        <f t="shared" si="14"/>
        <v>0</v>
      </c>
      <c r="E87" s="389">
        <v>0</v>
      </c>
      <c r="F87" s="338">
        <v>0</v>
      </c>
      <c r="G87" s="63"/>
    </row>
    <row r="88" spans="1:7" s="64" customFormat="1" ht="15.6" customHeight="1">
      <c r="A88" s="62" t="s">
        <v>199</v>
      </c>
      <c r="B88" s="752" t="s">
        <v>12</v>
      </c>
      <c r="C88" s="389">
        <v>3631</v>
      </c>
      <c r="D88" s="389">
        <f>C88</f>
        <v>3631</v>
      </c>
      <c r="E88" s="389">
        <v>0</v>
      </c>
      <c r="F88" s="338">
        <v>0</v>
      </c>
      <c r="G88" s="63"/>
    </row>
    <row r="89" spans="1:7" s="64" customFormat="1" ht="15.6" customHeight="1">
      <c r="A89" s="62" t="s">
        <v>200</v>
      </c>
      <c r="B89" s="752" t="s">
        <v>205</v>
      </c>
      <c r="C89" s="389"/>
      <c r="D89" s="389"/>
      <c r="E89" s="389">
        <v>0</v>
      </c>
      <c r="F89" s="338">
        <v>0</v>
      </c>
      <c r="G89" s="63"/>
    </row>
    <row r="90" spans="1:7" s="64" customFormat="1" ht="15.6" customHeight="1">
      <c r="A90" s="62" t="s">
        <v>201</v>
      </c>
      <c r="B90" s="752" t="s">
        <v>206</v>
      </c>
      <c r="C90" s="389"/>
      <c r="D90" s="389"/>
      <c r="E90" s="389">
        <v>0</v>
      </c>
      <c r="F90" s="338">
        <v>0</v>
      </c>
      <c r="G90" s="63"/>
    </row>
    <row r="91" spans="1:7" s="64" customFormat="1" ht="15.6" customHeight="1">
      <c r="A91" s="62" t="s">
        <v>202</v>
      </c>
      <c r="B91" s="752" t="s">
        <v>207</v>
      </c>
      <c r="C91" s="389"/>
      <c r="D91" s="389"/>
      <c r="E91" s="389">
        <v>0</v>
      </c>
      <c r="F91" s="338">
        <v>0</v>
      </c>
      <c r="G91" s="63"/>
    </row>
    <row r="92" spans="1:7" s="64" customFormat="1" ht="15.6" customHeight="1" thickBot="1">
      <c r="A92" s="385" t="s">
        <v>203</v>
      </c>
      <c r="B92" s="390" t="s">
        <v>208</v>
      </c>
      <c r="C92" s="391">
        <v>22592</v>
      </c>
      <c r="D92" s="391">
        <f>C92</f>
        <v>22592</v>
      </c>
      <c r="E92" s="391">
        <v>0</v>
      </c>
      <c r="F92" s="392">
        <v>0</v>
      </c>
      <c r="G92" s="63"/>
    </row>
    <row r="93" spans="1:7" s="65" customFormat="1" ht="17.100000000000001" customHeight="1" thickBot="1">
      <c r="A93" s="107"/>
      <c r="B93" s="108" t="s">
        <v>133</v>
      </c>
      <c r="C93" s="339">
        <f>SUM(C85:C92)</f>
        <v>26223</v>
      </c>
      <c r="D93" s="339">
        <f>SUM(D85:D92)</f>
        <v>26223</v>
      </c>
      <c r="E93" s="339">
        <f>SUM(E85:E92)</f>
        <v>0</v>
      </c>
      <c r="F93" s="340">
        <f>SUM(F85:F92)</f>
        <v>0</v>
      </c>
      <c r="G93" s="63"/>
    </row>
    <row r="94" spans="1:7" s="73" customFormat="1" ht="17.100000000000001" customHeight="1">
      <c r="A94" s="317"/>
      <c r="B94" s="1230" t="s">
        <v>649</v>
      </c>
      <c r="C94" s="1231"/>
      <c r="D94" s="1231"/>
      <c r="E94" s="1231"/>
      <c r="F94" s="1232"/>
      <c r="G94" s="71"/>
    </row>
    <row r="95" spans="1:7" s="64" customFormat="1" ht="15.6" customHeight="1">
      <c r="A95" s="62" t="s">
        <v>196</v>
      </c>
      <c r="B95" s="752" t="s">
        <v>194</v>
      </c>
      <c r="C95" s="389">
        <v>0</v>
      </c>
      <c r="D95" s="389">
        <f>C95</f>
        <v>0</v>
      </c>
      <c r="E95" s="389">
        <v>0</v>
      </c>
      <c r="F95" s="338">
        <v>0</v>
      </c>
      <c r="G95" s="63"/>
    </row>
    <row r="96" spans="1:7" s="64" customFormat="1" ht="15.6" customHeight="1">
      <c r="A96" s="62" t="s">
        <v>197</v>
      </c>
      <c r="B96" s="752" t="s">
        <v>195</v>
      </c>
      <c r="C96" s="389">
        <v>0</v>
      </c>
      <c r="D96" s="389">
        <f t="shared" ref="D96:D97" si="15">C96</f>
        <v>0</v>
      </c>
      <c r="E96" s="389">
        <v>0</v>
      </c>
      <c r="F96" s="338">
        <v>0</v>
      </c>
      <c r="G96" s="63"/>
    </row>
    <row r="97" spans="1:7" s="64" customFormat="1" ht="15.6" customHeight="1">
      <c r="A97" s="62" t="s">
        <v>198</v>
      </c>
      <c r="B97" s="752" t="s">
        <v>204</v>
      </c>
      <c r="C97" s="389">
        <v>0</v>
      </c>
      <c r="D97" s="389">
        <f t="shared" si="15"/>
        <v>0</v>
      </c>
      <c r="E97" s="389">
        <v>0</v>
      </c>
      <c r="F97" s="338">
        <v>0</v>
      </c>
      <c r="G97" s="63"/>
    </row>
    <row r="98" spans="1:7" s="64" customFormat="1" ht="15.6" customHeight="1">
      <c r="A98" s="62" t="s">
        <v>199</v>
      </c>
      <c r="B98" s="752" t="s">
        <v>12</v>
      </c>
      <c r="C98" s="389">
        <v>42731</v>
      </c>
      <c r="D98" s="389">
        <f>C98</f>
        <v>42731</v>
      </c>
      <c r="E98" s="389">
        <v>0</v>
      </c>
      <c r="F98" s="338">
        <v>0</v>
      </c>
      <c r="G98" s="63"/>
    </row>
    <row r="99" spans="1:7" s="64" customFormat="1" ht="15.6" customHeight="1">
      <c r="A99" s="62" t="s">
        <v>200</v>
      </c>
      <c r="B99" s="752" t="s">
        <v>205</v>
      </c>
      <c r="C99" s="389">
        <v>0</v>
      </c>
      <c r="D99" s="389">
        <f t="shared" ref="D99:D102" si="16">C99</f>
        <v>0</v>
      </c>
      <c r="E99" s="389">
        <v>0</v>
      </c>
      <c r="F99" s="338">
        <v>0</v>
      </c>
      <c r="G99" s="63"/>
    </row>
    <row r="100" spans="1:7" s="64" customFormat="1" ht="15.6" customHeight="1">
      <c r="A100" s="62" t="s">
        <v>201</v>
      </c>
      <c r="B100" s="752" t="s">
        <v>206</v>
      </c>
      <c r="C100" s="389">
        <v>0</v>
      </c>
      <c r="D100" s="389">
        <f t="shared" si="16"/>
        <v>0</v>
      </c>
      <c r="E100" s="389">
        <v>0</v>
      </c>
      <c r="F100" s="338">
        <v>0</v>
      </c>
      <c r="G100" s="63"/>
    </row>
    <row r="101" spans="1:7" s="64" customFormat="1" ht="15.6" customHeight="1">
      <c r="A101" s="62" t="s">
        <v>202</v>
      </c>
      <c r="B101" s="752" t="s">
        <v>207</v>
      </c>
      <c r="C101" s="389">
        <v>0</v>
      </c>
      <c r="D101" s="389">
        <f t="shared" si="16"/>
        <v>0</v>
      </c>
      <c r="E101" s="389">
        <v>0</v>
      </c>
      <c r="F101" s="338">
        <v>0</v>
      </c>
      <c r="G101" s="63"/>
    </row>
    <row r="102" spans="1:7" s="64" customFormat="1" ht="15.6" customHeight="1" thickBot="1">
      <c r="A102" s="385" t="s">
        <v>203</v>
      </c>
      <c r="B102" s="390" t="s">
        <v>208</v>
      </c>
      <c r="C102" s="391">
        <v>120347</v>
      </c>
      <c r="D102" s="389">
        <f t="shared" si="16"/>
        <v>120347</v>
      </c>
      <c r="E102" s="391">
        <v>0</v>
      </c>
      <c r="F102" s="392">
        <v>0</v>
      </c>
      <c r="G102" s="63" t="s">
        <v>743</v>
      </c>
    </row>
    <row r="103" spans="1:7" s="65" customFormat="1" ht="17.100000000000001" customHeight="1" thickBot="1">
      <c r="A103" s="107"/>
      <c r="B103" s="108" t="s">
        <v>133</v>
      </c>
      <c r="C103" s="339">
        <f>SUM(C95:C102)</f>
        <v>163078</v>
      </c>
      <c r="D103" s="339">
        <f>SUM(D95:D102)</f>
        <v>163078</v>
      </c>
      <c r="E103" s="339">
        <f>SUM(E95:E102)</f>
        <v>0</v>
      </c>
      <c r="F103" s="340">
        <f>SUM(F95:F102)</f>
        <v>0</v>
      </c>
      <c r="G103" s="63"/>
    </row>
    <row r="104" spans="1:7" s="102" customFormat="1" ht="15.95" customHeight="1">
      <c r="A104" s="74"/>
      <c r="B104" s="1220" t="s">
        <v>527</v>
      </c>
      <c r="C104" s="1221"/>
      <c r="D104" s="1221"/>
      <c r="E104" s="1221"/>
      <c r="F104" s="1222"/>
    </row>
    <row r="105" spans="1:7" s="64" customFormat="1" ht="15.95" customHeight="1">
      <c r="A105" s="62" t="s">
        <v>196</v>
      </c>
      <c r="B105" s="752" t="s">
        <v>194</v>
      </c>
      <c r="C105" s="389">
        <v>0</v>
      </c>
      <c r="D105" s="389">
        <f>C105</f>
        <v>0</v>
      </c>
      <c r="E105" s="389">
        <v>0</v>
      </c>
      <c r="F105" s="338">
        <v>0</v>
      </c>
      <c r="G105" s="63"/>
    </row>
    <row r="106" spans="1:7" s="64" customFormat="1" ht="15.95" customHeight="1">
      <c r="A106" s="62" t="s">
        <v>197</v>
      </c>
      <c r="B106" s="752" t="s">
        <v>195</v>
      </c>
      <c r="C106" s="389">
        <v>0</v>
      </c>
      <c r="D106" s="389">
        <f t="shared" ref="D106:D107" si="17">C106</f>
        <v>0</v>
      </c>
      <c r="E106" s="389">
        <v>0</v>
      </c>
      <c r="F106" s="338">
        <v>0</v>
      </c>
      <c r="G106" s="63"/>
    </row>
    <row r="107" spans="1:7" s="64" customFormat="1" ht="15.95" customHeight="1">
      <c r="A107" s="62" t="s">
        <v>198</v>
      </c>
      <c r="B107" s="752" t="s">
        <v>204</v>
      </c>
      <c r="C107" s="389">
        <v>0</v>
      </c>
      <c r="D107" s="389">
        <f t="shared" si="17"/>
        <v>0</v>
      </c>
      <c r="E107" s="389">
        <v>0</v>
      </c>
      <c r="F107" s="338">
        <v>0</v>
      </c>
      <c r="G107" s="63"/>
    </row>
    <row r="108" spans="1:7" s="64" customFormat="1" ht="15.95" customHeight="1">
      <c r="A108" s="62" t="s">
        <v>199</v>
      </c>
      <c r="B108" s="752" t="s">
        <v>12</v>
      </c>
      <c r="C108" s="389">
        <v>99</v>
      </c>
      <c r="D108" s="389">
        <v>99</v>
      </c>
      <c r="E108" s="389">
        <v>0</v>
      </c>
      <c r="F108" s="338">
        <v>0</v>
      </c>
      <c r="G108" s="63"/>
    </row>
    <row r="109" spans="1:7" s="64" customFormat="1" ht="15.95" customHeight="1">
      <c r="A109" s="62" t="s">
        <v>200</v>
      </c>
      <c r="B109" s="752" t="s">
        <v>205</v>
      </c>
      <c r="C109" s="389"/>
      <c r="D109" s="389"/>
      <c r="E109" s="389">
        <v>0</v>
      </c>
      <c r="F109" s="338">
        <v>0</v>
      </c>
      <c r="G109" s="63"/>
    </row>
    <row r="110" spans="1:7" s="64" customFormat="1" ht="15.95" customHeight="1">
      <c r="A110" s="62" t="s">
        <v>201</v>
      </c>
      <c r="B110" s="752" t="s">
        <v>206</v>
      </c>
      <c r="C110" s="389"/>
      <c r="D110" s="389"/>
      <c r="E110" s="389">
        <v>0</v>
      </c>
      <c r="F110" s="338">
        <v>0</v>
      </c>
      <c r="G110" s="63"/>
    </row>
    <row r="111" spans="1:7" s="64" customFormat="1" ht="15.95" customHeight="1">
      <c r="A111" s="62" t="s">
        <v>202</v>
      </c>
      <c r="B111" s="752" t="s">
        <v>207</v>
      </c>
      <c r="C111" s="389"/>
      <c r="D111" s="389"/>
      <c r="E111" s="389">
        <v>0</v>
      </c>
      <c r="F111" s="338">
        <v>0</v>
      </c>
      <c r="G111" s="63"/>
    </row>
    <row r="112" spans="1:7" s="64" customFormat="1" ht="15.95" customHeight="1" thickBot="1">
      <c r="A112" s="385" t="s">
        <v>203</v>
      </c>
      <c r="B112" s="512" t="s">
        <v>208</v>
      </c>
      <c r="C112" s="391">
        <v>37272</v>
      </c>
      <c r="D112" s="389">
        <f>C112</f>
        <v>37272</v>
      </c>
      <c r="E112" s="391">
        <v>0</v>
      </c>
      <c r="F112" s="392">
        <v>0</v>
      </c>
      <c r="G112" s="63"/>
    </row>
    <row r="113" spans="1:7" s="65" customFormat="1" ht="18.95" customHeight="1" thickBot="1">
      <c r="A113" s="107"/>
      <c r="B113" s="108" t="s">
        <v>133</v>
      </c>
      <c r="C113" s="339">
        <f>SUM(C105:C112)</f>
        <v>37371</v>
      </c>
      <c r="D113" s="339">
        <f>SUM(D105:D112)</f>
        <v>37371</v>
      </c>
      <c r="E113" s="339">
        <f>SUM(E105:E112)</f>
        <v>0</v>
      </c>
      <c r="F113" s="340">
        <f>SUM(F105:F112)</f>
        <v>0</v>
      </c>
      <c r="G113" s="63"/>
    </row>
    <row r="114" spans="1:7" s="68" customFormat="1" ht="27.95" customHeight="1" thickBot="1">
      <c r="A114" s="1205" t="s">
        <v>81</v>
      </c>
      <c r="B114" s="1206"/>
      <c r="C114" s="1206"/>
      <c r="D114" s="1206"/>
      <c r="E114" s="1206"/>
      <c r="F114" s="1207"/>
    </row>
    <row r="115" spans="1:7" ht="21" customHeight="1">
      <c r="A115" s="318" t="s">
        <v>196</v>
      </c>
      <c r="B115" s="501" t="s">
        <v>194</v>
      </c>
      <c r="C115" s="759">
        <f>C5+C45+C55+C65</f>
        <v>0</v>
      </c>
      <c r="D115" s="759">
        <f t="shared" ref="C115:F122" si="18">SUM(D5+D45+D65+D55)</f>
        <v>0</v>
      </c>
      <c r="E115" s="759">
        <f t="shared" si="18"/>
        <v>0</v>
      </c>
      <c r="F115" s="753">
        <f t="shared" si="18"/>
        <v>0</v>
      </c>
    </row>
    <row r="116" spans="1:7" ht="21" customHeight="1">
      <c r="A116" s="62" t="s">
        <v>197</v>
      </c>
      <c r="B116" s="751" t="s">
        <v>195</v>
      </c>
      <c r="C116" s="758">
        <f t="shared" si="18"/>
        <v>0</v>
      </c>
      <c r="D116" s="758">
        <f t="shared" si="18"/>
        <v>0</v>
      </c>
      <c r="E116" s="758">
        <f t="shared" si="18"/>
        <v>0</v>
      </c>
      <c r="F116" s="333">
        <f t="shared" si="18"/>
        <v>0</v>
      </c>
    </row>
    <row r="117" spans="1:7" ht="21" customHeight="1">
      <c r="A117" s="62" t="s">
        <v>198</v>
      </c>
      <c r="B117" s="751" t="s">
        <v>204</v>
      </c>
      <c r="C117" s="758">
        <f t="shared" si="18"/>
        <v>0</v>
      </c>
      <c r="D117" s="758">
        <f t="shared" si="18"/>
        <v>0</v>
      </c>
      <c r="E117" s="758">
        <f t="shared" si="18"/>
        <v>0</v>
      </c>
      <c r="F117" s="333">
        <f t="shared" si="18"/>
        <v>0</v>
      </c>
    </row>
    <row r="118" spans="1:7" ht="21" customHeight="1">
      <c r="A118" s="62" t="s">
        <v>199</v>
      </c>
      <c r="B118" s="751" t="s">
        <v>12</v>
      </c>
      <c r="C118" s="758">
        <f t="shared" si="18"/>
        <v>128930</v>
      </c>
      <c r="D118" s="758">
        <f t="shared" si="18"/>
        <v>128930</v>
      </c>
      <c r="E118" s="758">
        <f t="shared" si="18"/>
        <v>0</v>
      </c>
      <c r="F118" s="333">
        <f t="shared" si="18"/>
        <v>0</v>
      </c>
    </row>
    <row r="119" spans="1:7" ht="21" customHeight="1">
      <c r="A119" s="62" t="s">
        <v>200</v>
      </c>
      <c r="B119" s="751" t="s">
        <v>205</v>
      </c>
      <c r="C119" s="758">
        <f t="shared" si="18"/>
        <v>0</v>
      </c>
      <c r="D119" s="758">
        <f t="shared" si="18"/>
        <v>0</v>
      </c>
      <c r="E119" s="758">
        <f t="shared" si="18"/>
        <v>0</v>
      </c>
      <c r="F119" s="333">
        <f t="shared" si="18"/>
        <v>0</v>
      </c>
    </row>
    <row r="120" spans="1:7" ht="21" customHeight="1">
      <c r="A120" s="62" t="s">
        <v>201</v>
      </c>
      <c r="B120" s="751" t="s">
        <v>206</v>
      </c>
      <c r="C120" s="758">
        <f t="shared" si="18"/>
        <v>0</v>
      </c>
      <c r="D120" s="758">
        <f t="shared" si="18"/>
        <v>0</v>
      </c>
      <c r="E120" s="758">
        <f t="shared" si="18"/>
        <v>0</v>
      </c>
      <c r="F120" s="333">
        <f t="shared" si="18"/>
        <v>0</v>
      </c>
    </row>
    <row r="121" spans="1:7" ht="21" customHeight="1">
      <c r="A121" s="62" t="s">
        <v>202</v>
      </c>
      <c r="B121" s="751" t="s">
        <v>207</v>
      </c>
      <c r="C121" s="758">
        <f t="shared" si="18"/>
        <v>0</v>
      </c>
      <c r="D121" s="758">
        <f t="shared" si="18"/>
        <v>0</v>
      </c>
      <c r="E121" s="758">
        <f t="shared" si="18"/>
        <v>0</v>
      </c>
      <c r="F121" s="333">
        <f t="shared" si="18"/>
        <v>0</v>
      </c>
    </row>
    <row r="122" spans="1:7" ht="21" customHeight="1">
      <c r="A122" s="62" t="s">
        <v>203</v>
      </c>
      <c r="B122" s="751" t="s">
        <v>208</v>
      </c>
      <c r="C122" s="758">
        <f t="shared" si="18"/>
        <v>1124763</v>
      </c>
      <c r="D122" s="758">
        <f t="shared" si="18"/>
        <v>1124763</v>
      </c>
      <c r="E122" s="758">
        <f t="shared" si="18"/>
        <v>0</v>
      </c>
      <c r="F122" s="333">
        <f t="shared" si="18"/>
        <v>0</v>
      </c>
    </row>
    <row r="123" spans="1:7" s="66" customFormat="1" ht="21" customHeight="1">
      <c r="A123" s="23" t="s">
        <v>268</v>
      </c>
      <c r="B123" s="754" t="s">
        <v>269</v>
      </c>
      <c r="C123" s="758"/>
      <c r="D123" s="758"/>
      <c r="E123" s="758">
        <f>SUM(E13+E53+E73+E63)</f>
        <v>0</v>
      </c>
      <c r="F123" s="333">
        <f>SUM(F13+F53+F73+F63)</f>
        <v>0</v>
      </c>
    </row>
    <row r="124" spans="1:7" s="66" customFormat="1" ht="21" customHeight="1" thickBot="1">
      <c r="A124" s="760" t="s">
        <v>270</v>
      </c>
      <c r="B124" s="761" t="s">
        <v>271</v>
      </c>
      <c r="C124" s="762">
        <f>SUM(C12+C72+C62+C52)</f>
        <v>1124763</v>
      </c>
      <c r="D124" s="762">
        <f>SUM(D12+D72+D62+D52)</f>
        <v>1124763</v>
      </c>
      <c r="E124" s="762">
        <f>SUM(E14+E54+E74+E64)</f>
        <v>0</v>
      </c>
      <c r="F124" s="763">
        <f>SUM(F14+F54+F74+F64)</f>
        <v>0</v>
      </c>
    </row>
    <row r="125" spans="1:7" s="68" customFormat="1" ht="27.95" customHeight="1" thickBot="1">
      <c r="A125" s="1208" t="s">
        <v>133</v>
      </c>
      <c r="B125" s="1209"/>
      <c r="C125" s="756">
        <f>SUM(C115:C122)</f>
        <v>1253693</v>
      </c>
      <c r="D125" s="756">
        <f>SUM(D115:D122)</f>
        <v>1253693</v>
      </c>
      <c r="E125" s="756">
        <f>SUM(E115:E122)</f>
        <v>0</v>
      </c>
      <c r="F125" s="757">
        <v>0</v>
      </c>
      <c r="G125" s="310" t="s">
        <v>55</v>
      </c>
    </row>
    <row r="128" spans="1:7">
      <c r="A128" s="19"/>
      <c r="B128" s="100"/>
      <c r="C128" s="15"/>
      <c r="E128" s="311"/>
    </row>
    <row r="129" spans="1:3">
      <c r="A129" s="19"/>
      <c r="B129" s="100"/>
      <c r="C129" s="15"/>
    </row>
    <row r="130" spans="1:3">
      <c r="A130" s="19"/>
      <c r="C130" s="15"/>
    </row>
    <row r="131" spans="1:3">
      <c r="A131" s="19"/>
      <c r="C131" s="15"/>
    </row>
    <row r="132" spans="1:3">
      <c r="A132" s="19"/>
      <c r="C132" s="15"/>
    </row>
    <row r="133" spans="1:3">
      <c r="A133" s="19"/>
      <c r="C133" s="15"/>
    </row>
    <row r="134" spans="1:3">
      <c r="A134" s="19"/>
      <c r="C134" s="15"/>
    </row>
    <row r="135" spans="1:3">
      <c r="A135" s="19"/>
      <c r="C135" s="15"/>
    </row>
    <row r="136" spans="1:3">
      <c r="A136" s="19"/>
      <c r="C136" s="15"/>
    </row>
    <row r="137" spans="1:3">
      <c r="A137" s="19"/>
      <c r="C137" s="15"/>
    </row>
    <row r="138" spans="1:3">
      <c r="A138" s="19"/>
      <c r="C138" s="15"/>
    </row>
    <row r="139" spans="1:3">
      <c r="A139" s="19"/>
      <c r="C139" s="15"/>
    </row>
    <row r="140" spans="1:3">
      <c r="A140" s="19"/>
      <c r="C140" s="15"/>
    </row>
    <row r="141" spans="1:3">
      <c r="A141" s="19"/>
      <c r="C141" s="15"/>
    </row>
    <row r="144" spans="1:3">
      <c r="A144" s="19"/>
      <c r="B144" s="19"/>
      <c r="C144" s="15"/>
    </row>
    <row r="145" spans="1:3">
      <c r="A145" s="19"/>
      <c r="B145" s="19"/>
      <c r="C145" s="15"/>
    </row>
  </sheetData>
  <protectedRanges>
    <protectedRange sqref="E44:F44" name="Tartomány21_1_1_1"/>
    <protectedRange sqref="D44" name="Tartomány20_1_1_1"/>
    <protectedRange sqref="C125:E125" name="Tartomány13_1_1_1"/>
    <protectedRange sqref="E4:F4 E54:F54 E94:F94 E74:F74 E84:F84 E64:F64" name="Tartomány11_1_1_1"/>
    <protectedRange sqref="D4 D54 D94 D74 D84 D64" name="Tartomány10_1_1_1"/>
    <protectedRange sqref="C125:E125" name="Tartomány1_1_1_1"/>
  </protectedRanges>
  <mergeCells count="14">
    <mergeCell ref="A1:F1"/>
    <mergeCell ref="B104:F104"/>
    <mergeCell ref="B64:F64"/>
    <mergeCell ref="B74:F74"/>
    <mergeCell ref="B84:F84"/>
    <mergeCell ref="B94:F94"/>
    <mergeCell ref="B4:F4"/>
    <mergeCell ref="E2:F2"/>
    <mergeCell ref="A114:F114"/>
    <mergeCell ref="A125:B125"/>
    <mergeCell ref="B44:F44"/>
    <mergeCell ref="B54:F54"/>
    <mergeCell ref="B14:F14"/>
    <mergeCell ref="B24:F24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&amp;L&amp;"Arial,Dőlt"&amp;9 &amp;U3. melléklet a 2/2020. (II.14.) önkormányzati rendelethez</oddHeader>
    <oddFooter xml:space="preserve">&amp;C&amp;9 </oddFooter>
  </headerFooter>
  <rowBreaks count="2" manualBreakCount="2">
    <brk id="43" max="5" man="1"/>
    <brk id="8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J195"/>
  <sheetViews>
    <sheetView view="pageLayout" topLeftCell="A40" zoomScaleNormal="100" zoomScaleSheetLayoutView="100" workbookViewId="0">
      <selection activeCell="B40" sqref="B40"/>
    </sheetView>
  </sheetViews>
  <sheetFormatPr defaultColWidth="9.140625" defaultRowHeight="15"/>
  <cols>
    <col min="1" max="1" width="7.5703125" style="112" customWidth="1"/>
    <col min="2" max="2" width="53.140625" style="694" customWidth="1"/>
    <col min="3" max="3" width="15.28515625" style="75" customWidth="1"/>
    <col min="4" max="4" width="17.85546875" style="22" bestFit="1" customWidth="1"/>
    <col min="5" max="5" width="13.42578125" style="75" bestFit="1" customWidth="1"/>
    <col min="6" max="6" width="12.85546875" style="22" customWidth="1"/>
    <col min="7" max="7" width="49.5703125" style="14" customWidth="1"/>
    <col min="8" max="16384" width="9.140625" style="14"/>
  </cols>
  <sheetData>
    <row r="1" spans="1:7" ht="27.75" customHeight="1">
      <c r="A1" s="1236" t="s">
        <v>517</v>
      </c>
      <c r="B1" s="1236"/>
      <c r="C1" s="1236"/>
      <c r="D1" s="1236"/>
      <c r="E1" s="1236"/>
      <c r="F1" s="1236"/>
    </row>
    <row r="2" spans="1:7" ht="14.25" customHeight="1">
      <c r="A2" s="1051"/>
      <c r="B2" s="1051"/>
      <c r="C2" s="1051"/>
      <c r="D2" s="1051"/>
      <c r="E2" s="1237" t="s">
        <v>692</v>
      </c>
      <c r="F2" s="1237"/>
    </row>
    <row r="3" spans="1:7" s="76" customFormat="1" ht="33" customHeight="1">
      <c r="A3" s="855" t="s">
        <v>82</v>
      </c>
      <c r="B3" s="1118" t="s">
        <v>65</v>
      </c>
      <c r="C3" s="856" t="s">
        <v>148</v>
      </c>
      <c r="D3" s="857" t="s">
        <v>165</v>
      </c>
      <c r="E3" s="857" t="s">
        <v>166</v>
      </c>
      <c r="F3" s="857" t="s">
        <v>161</v>
      </c>
    </row>
    <row r="4" spans="1:7" s="77" customFormat="1" ht="37.5" customHeight="1">
      <c r="A4" s="858" t="s">
        <v>196</v>
      </c>
      <c r="B4" s="859" t="s">
        <v>964</v>
      </c>
      <c r="C4" s="860">
        <f>C5+C45</f>
        <v>1261942</v>
      </c>
      <c r="D4" s="860">
        <f>D5+D45</f>
        <v>1261942</v>
      </c>
      <c r="E4" s="860">
        <f>E5+E45</f>
        <v>0</v>
      </c>
      <c r="F4" s="860">
        <f>F5+F45</f>
        <v>0</v>
      </c>
    </row>
    <row r="5" spans="1:7" s="79" customFormat="1" ht="33" customHeight="1">
      <c r="A5" s="861" t="s">
        <v>214</v>
      </c>
      <c r="B5" s="764" t="s">
        <v>355</v>
      </c>
      <c r="C5" s="765">
        <f>C6+C17+C21+C40+C43</f>
        <v>1234719</v>
      </c>
      <c r="D5" s="765">
        <f>D6+D17+D21+D40+D43</f>
        <v>1234719</v>
      </c>
      <c r="E5" s="765">
        <f>E6+E17+E21+E40+E43</f>
        <v>0</v>
      </c>
      <c r="F5" s="765">
        <f>F6+F17+F21+F40+F43</f>
        <v>0</v>
      </c>
    </row>
    <row r="6" spans="1:7" s="80" customFormat="1" ht="33" customHeight="1">
      <c r="A6" s="861" t="s">
        <v>215</v>
      </c>
      <c r="B6" s="764" t="s">
        <v>216</v>
      </c>
      <c r="C6" s="765">
        <f>SUM(C7:C16)</f>
        <v>366468</v>
      </c>
      <c r="D6" s="765">
        <f>SUM(D7:D16)</f>
        <v>366468</v>
      </c>
      <c r="E6" s="765">
        <f t="shared" ref="E6:F6" si="0">SUM(E7:E15)</f>
        <v>0</v>
      </c>
      <c r="F6" s="765">
        <f t="shared" si="0"/>
        <v>0</v>
      </c>
    </row>
    <row r="7" spans="1:7" s="79" customFormat="1" ht="18" customHeight="1">
      <c r="A7" s="861"/>
      <c r="B7" s="728" t="s">
        <v>312</v>
      </c>
      <c r="C7" s="862">
        <v>214115</v>
      </c>
      <c r="D7" s="766">
        <f>C7</f>
        <v>214115</v>
      </c>
      <c r="E7" s="767">
        <v>0</v>
      </c>
      <c r="F7" s="767">
        <v>0</v>
      </c>
      <c r="G7" s="79" t="s">
        <v>561</v>
      </c>
    </row>
    <row r="8" spans="1:7" s="79" customFormat="1" ht="31.5" customHeight="1">
      <c r="A8" s="861"/>
      <c r="B8" s="728" t="s">
        <v>150</v>
      </c>
      <c r="C8" s="862">
        <v>0</v>
      </c>
      <c r="D8" s="766">
        <f>C8</f>
        <v>0</v>
      </c>
      <c r="E8" s="767">
        <v>0</v>
      </c>
      <c r="F8" s="767">
        <v>0</v>
      </c>
      <c r="G8" s="79" t="s">
        <v>561</v>
      </c>
    </row>
    <row r="9" spans="1:7" s="79" customFormat="1" ht="18" customHeight="1">
      <c r="A9" s="861"/>
      <c r="B9" s="728" t="s">
        <v>151</v>
      </c>
      <c r="C9" s="769">
        <v>114737</v>
      </c>
      <c r="D9" s="766">
        <f t="shared" ref="D9:D15" si="1">C9</f>
        <v>114737</v>
      </c>
      <c r="E9" s="767">
        <v>0</v>
      </c>
      <c r="F9" s="767">
        <v>0</v>
      </c>
      <c r="G9" s="79" t="s">
        <v>561</v>
      </c>
    </row>
    <row r="10" spans="1:7" s="79" customFormat="1" ht="18" customHeight="1">
      <c r="A10" s="861"/>
      <c r="B10" s="728" t="s">
        <v>518</v>
      </c>
      <c r="C10" s="769"/>
      <c r="D10" s="766">
        <f t="shared" si="1"/>
        <v>0</v>
      </c>
      <c r="E10" s="767">
        <v>0</v>
      </c>
      <c r="F10" s="767">
        <v>0</v>
      </c>
      <c r="G10" s="79" t="s">
        <v>561</v>
      </c>
    </row>
    <row r="11" spans="1:7" s="79" customFormat="1" ht="18" customHeight="1">
      <c r="A11" s="861"/>
      <c r="B11" s="728" t="s">
        <v>313</v>
      </c>
      <c r="C11" s="769">
        <v>35822</v>
      </c>
      <c r="D11" s="766">
        <f t="shared" si="1"/>
        <v>35822</v>
      </c>
      <c r="E11" s="767">
        <v>0</v>
      </c>
      <c r="F11" s="767">
        <v>0</v>
      </c>
      <c r="G11" s="79" t="s">
        <v>561</v>
      </c>
    </row>
    <row r="12" spans="1:7" s="79" customFormat="1" ht="18" customHeight="1">
      <c r="A12" s="861"/>
      <c r="B12" s="728" t="s">
        <v>314</v>
      </c>
      <c r="C12" s="862"/>
      <c r="D12" s="766">
        <f t="shared" si="1"/>
        <v>0</v>
      </c>
      <c r="E12" s="767">
        <v>0</v>
      </c>
      <c r="F12" s="767">
        <v>0</v>
      </c>
      <c r="G12" s="79" t="s">
        <v>561</v>
      </c>
    </row>
    <row r="13" spans="1:7" s="79" customFormat="1" ht="18" customHeight="1">
      <c r="A13" s="861"/>
      <c r="B13" s="728" t="s">
        <v>296</v>
      </c>
      <c r="C13" s="862">
        <v>0</v>
      </c>
      <c r="D13" s="766">
        <f t="shared" si="1"/>
        <v>0</v>
      </c>
      <c r="E13" s="767">
        <v>0</v>
      </c>
      <c r="F13" s="767">
        <v>0</v>
      </c>
      <c r="G13" s="79" t="s">
        <v>561</v>
      </c>
    </row>
    <row r="14" spans="1:7" s="79" customFormat="1" ht="18" customHeight="1">
      <c r="A14" s="861"/>
      <c r="B14" s="728" t="s">
        <v>356</v>
      </c>
      <c r="C14" s="862">
        <v>0</v>
      </c>
      <c r="D14" s="766">
        <f t="shared" si="1"/>
        <v>0</v>
      </c>
      <c r="E14" s="767">
        <v>0</v>
      </c>
      <c r="F14" s="767">
        <v>0</v>
      </c>
      <c r="G14" s="79" t="s">
        <v>561</v>
      </c>
    </row>
    <row r="15" spans="1:7" s="79" customFormat="1" ht="18" customHeight="1">
      <c r="A15" s="861"/>
      <c r="B15" s="728" t="s">
        <v>673</v>
      </c>
      <c r="C15" s="862"/>
      <c r="D15" s="766">
        <f t="shared" si="1"/>
        <v>0</v>
      </c>
      <c r="E15" s="767"/>
      <c r="F15" s="767"/>
      <c r="G15" s="79" t="s">
        <v>561</v>
      </c>
    </row>
    <row r="16" spans="1:7" s="79" customFormat="1" ht="18" customHeight="1">
      <c r="A16" s="861"/>
      <c r="B16" s="728" t="s">
        <v>548</v>
      </c>
      <c r="C16" s="862">
        <v>1794</v>
      </c>
      <c r="D16" s="862">
        <v>1794</v>
      </c>
      <c r="E16" s="767"/>
      <c r="F16" s="767"/>
      <c r="G16" s="79" t="s">
        <v>561</v>
      </c>
    </row>
    <row r="17" spans="1:7" s="79" customFormat="1" ht="33" customHeight="1">
      <c r="A17" s="861" t="s">
        <v>250</v>
      </c>
      <c r="B17" s="764" t="s">
        <v>311</v>
      </c>
      <c r="C17" s="765">
        <f>SUM(C18:C20)</f>
        <v>380342</v>
      </c>
      <c r="D17" s="765">
        <f>SUM(D18:D20)</f>
        <v>380342</v>
      </c>
      <c r="E17" s="765">
        <f>SUM(E18:E20)</f>
        <v>0</v>
      </c>
      <c r="F17" s="765">
        <f>SUM(F18:F20)</f>
        <v>0</v>
      </c>
    </row>
    <row r="18" spans="1:7" s="81" customFormat="1" ht="30" customHeight="1">
      <c r="A18" s="861"/>
      <c r="B18" s="728" t="s">
        <v>315</v>
      </c>
      <c r="C18" s="862">
        <v>313941</v>
      </c>
      <c r="D18" s="862">
        <f>C18</f>
        <v>313941</v>
      </c>
      <c r="E18" s="767">
        <v>0</v>
      </c>
      <c r="F18" s="767">
        <v>0</v>
      </c>
      <c r="G18" s="81" t="s">
        <v>561</v>
      </c>
    </row>
    <row r="19" spans="1:7" s="81" customFormat="1" ht="18" customHeight="1">
      <c r="A19" s="861"/>
      <c r="B19" s="728" t="s">
        <v>316</v>
      </c>
      <c r="C19" s="862">
        <v>60193</v>
      </c>
      <c r="D19" s="862">
        <f t="shared" ref="D19:D20" si="2">C19</f>
        <v>60193</v>
      </c>
      <c r="E19" s="767">
        <v>0</v>
      </c>
      <c r="F19" s="767">
        <v>0</v>
      </c>
      <c r="G19" s="81" t="s">
        <v>561</v>
      </c>
    </row>
    <row r="20" spans="1:7" s="81" customFormat="1" ht="30" customHeight="1">
      <c r="A20" s="861"/>
      <c r="B20" s="728" t="s">
        <v>351</v>
      </c>
      <c r="C20" s="862">
        <v>6208</v>
      </c>
      <c r="D20" s="862">
        <f t="shared" si="2"/>
        <v>6208</v>
      </c>
      <c r="E20" s="767">
        <v>0</v>
      </c>
      <c r="F20" s="767">
        <v>0</v>
      </c>
      <c r="G20" s="81" t="s">
        <v>561</v>
      </c>
    </row>
    <row r="21" spans="1:7" s="81" customFormat="1" ht="33" customHeight="1">
      <c r="A21" s="861" t="s">
        <v>251</v>
      </c>
      <c r="B21" s="764" t="s">
        <v>295</v>
      </c>
      <c r="C21" s="765">
        <f>SUM(C22:C39)</f>
        <v>438808</v>
      </c>
      <c r="D21" s="765">
        <f>SUM(D22:D39)</f>
        <v>438808</v>
      </c>
      <c r="E21" s="765">
        <f>SUM(E22:E39)</f>
        <v>0</v>
      </c>
      <c r="F21" s="765">
        <f>SUM(F22:F39)</f>
        <v>0</v>
      </c>
      <c r="G21" s="81" t="s">
        <v>561</v>
      </c>
    </row>
    <row r="22" spans="1:7" s="81" customFormat="1" ht="30" customHeight="1">
      <c r="A22" s="861"/>
      <c r="B22" s="770" t="s">
        <v>372</v>
      </c>
      <c r="C22" s="862">
        <v>88607</v>
      </c>
      <c r="D22" s="862">
        <f>C22</f>
        <v>88607</v>
      </c>
      <c r="E22" s="765">
        <v>0</v>
      </c>
      <c r="F22" s="765">
        <v>0</v>
      </c>
      <c r="G22" s="81" t="s">
        <v>561</v>
      </c>
    </row>
    <row r="23" spans="1:7" s="79" customFormat="1" ht="18" customHeight="1">
      <c r="A23" s="861"/>
      <c r="B23" s="728" t="s">
        <v>376</v>
      </c>
      <c r="C23" s="862">
        <v>10200</v>
      </c>
      <c r="D23" s="862">
        <f t="shared" ref="D23:D39" si="3">C23</f>
        <v>10200</v>
      </c>
      <c r="E23" s="767">
        <v>0</v>
      </c>
      <c r="F23" s="767">
        <v>0</v>
      </c>
      <c r="G23" s="81" t="s">
        <v>561</v>
      </c>
    </row>
    <row r="24" spans="1:7" s="79" customFormat="1" ht="18" customHeight="1">
      <c r="A24" s="861"/>
      <c r="B24" s="728" t="s">
        <v>377</v>
      </c>
      <c r="C24" s="862">
        <v>17160</v>
      </c>
      <c r="D24" s="862">
        <f t="shared" si="3"/>
        <v>17160</v>
      </c>
      <c r="E24" s="767">
        <v>0</v>
      </c>
      <c r="F24" s="767">
        <v>0</v>
      </c>
      <c r="G24" s="81" t="s">
        <v>561</v>
      </c>
    </row>
    <row r="25" spans="1:7" s="79" customFormat="1" ht="18" customHeight="1">
      <c r="A25" s="861"/>
      <c r="B25" s="728" t="s">
        <v>153</v>
      </c>
      <c r="C25" s="862">
        <v>4510</v>
      </c>
      <c r="D25" s="862">
        <f t="shared" si="3"/>
        <v>4510</v>
      </c>
      <c r="E25" s="767">
        <v>0</v>
      </c>
      <c r="F25" s="767">
        <v>0</v>
      </c>
      <c r="G25" s="81" t="s">
        <v>561</v>
      </c>
    </row>
    <row r="26" spans="1:7" s="82" customFormat="1" ht="18" customHeight="1">
      <c r="A26" s="861"/>
      <c r="B26" s="728" t="s">
        <v>154</v>
      </c>
      <c r="C26" s="862">
        <v>14215</v>
      </c>
      <c r="D26" s="862">
        <f t="shared" si="3"/>
        <v>14215</v>
      </c>
      <c r="E26" s="767">
        <v>0</v>
      </c>
      <c r="F26" s="767">
        <v>0</v>
      </c>
      <c r="G26" s="81" t="s">
        <v>561</v>
      </c>
    </row>
    <row r="27" spans="1:7" s="82" customFormat="1" ht="18" customHeight="1">
      <c r="A27" s="861"/>
      <c r="B27" s="728" t="s">
        <v>155</v>
      </c>
      <c r="C27" s="862">
        <v>2850</v>
      </c>
      <c r="D27" s="862">
        <f t="shared" si="3"/>
        <v>2850</v>
      </c>
      <c r="E27" s="767">
        <v>0</v>
      </c>
      <c r="F27" s="767">
        <v>0</v>
      </c>
      <c r="G27" s="81" t="s">
        <v>561</v>
      </c>
    </row>
    <row r="28" spans="1:7" s="82" customFormat="1" ht="18" customHeight="1">
      <c r="A28" s="861"/>
      <c r="B28" s="728" t="s">
        <v>156</v>
      </c>
      <c r="C28" s="862">
        <v>7579</v>
      </c>
      <c r="D28" s="862">
        <f t="shared" si="3"/>
        <v>7579</v>
      </c>
      <c r="E28" s="767">
        <v>0</v>
      </c>
      <c r="F28" s="767">
        <v>0</v>
      </c>
      <c r="G28" s="81" t="s">
        <v>561</v>
      </c>
    </row>
    <row r="29" spans="1:7" s="82" customFormat="1" ht="30" customHeight="1">
      <c r="A29" s="861"/>
      <c r="B29" s="728" t="s">
        <v>935</v>
      </c>
      <c r="C29" s="862">
        <v>2894</v>
      </c>
      <c r="D29" s="862">
        <f t="shared" si="3"/>
        <v>2894</v>
      </c>
      <c r="E29" s="767">
        <v>0</v>
      </c>
      <c r="F29" s="767">
        <v>0</v>
      </c>
      <c r="G29" s="81" t="s">
        <v>561</v>
      </c>
    </row>
    <row r="30" spans="1:7" s="79" customFormat="1" ht="30" customHeight="1">
      <c r="A30" s="861"/>
      <c r="B30" s="771" t="s">
        <v>516</v>
      </c>
      <c r="C30" s="862">
        <v>11665</v>
      </c>
      <c r="D30" s="862">
        <f t="shared" si="3"/>
        <v>11665</v>
      </c>
      <c r="E30" s="767"/>
      <c r="F30" s="767"/>
      <c r="G30" s="81" t="s">
        <v>561</v>
      </c>
    </row>
    <row r="31" spans="1:7" s="79" customFormat="1" ht="30">
      <c r="A31" s="861"/>
      <c r="B31" s="771" t="s">
        <v>553</v>
      </c>
      <c r="C31" s="862">
        <v>27006</v>
      </c>
      <c r="D31" s="862">
        <f t="shared" si="3"/>
        <v>27006</v>
      </c>
      <c r="E31" s="767">
        <v>0</v>
      </c>
      <c r="F31" s="767">
        <v>0</v>
      </c>
      <c r="G31" s="81" t="s">
        <v>561</v>
      </c>
    </row>
    <row r="32" spans="1:7" s="79" customFormat="1" ht="30">
      <c r="A32" s="861"/>
      <c r="B32" s="771" t="s">
        <v>675</v>
      </c>
      <c r="C32" s="862">
        <v>0</v>
      </c>
      <c r="D32" s="862">
        <f t="shared" si="3"/>
        <v>0</v>
      </c>
      <c r="E32" s="767"/>
      <c r="F32" s="767"/>
      <c r="G32" s="81"/>
    </row>
    <row r="33" spans="1:7" s="79" customFormat="1">
      <c r="A33" s="861"/>
      <c r="B33" s="771" t="s">
        <v>674</v>
      </c>
      <c r="C33" s="862">
        <v>15267</v>
      </c>
      <c r="D33" s="862">
        <f t="shared" si="3"/>
        <v>15267</v>
      </c>
      <c r="E33" s="767"/>
      <c r="F33" s="767"/>
      <c r="G33" s="81"/>
    </row>
    <row r="34" spans="1:7" s="79" customFormat="1" ht="30">
      <c r="A34" s="861"/>
      <c r="B34" s="771" t="s">
        <v>554</v>
      </c>
      <c r="C34" s="862">
        <v>63096</v>
      </c>
      <c r="D34" s="862">
        <f t="shared" si="3"/>
        <v>63096</v>
      </c>
      <c r="E34" s="767"/>
      <c r="F34" s="767"/>
      <c r="G34" s="81" t="s">
        <v>561</v>
      </c>
    </row>
    <row r="35" spans="1:7" s="79" customFormat="1" ht="18" customHeight="1">
      <c r="A35" s="861"/>
      <c r="B35" s="728" t="s">
        <v>353</v>
      </c>
      <c r="C35" s="862">
        <v>126646</v>
      </c>
      <c r="D35" s="862">
        <f t="shared" si="3"/>
        <v>126646</v>
      </c>
      <c r="E35" s="767"/>
      <c r="F35" s="767"/>
      <c r="G35" s="81" t="s">
        <v>561</v>
      </c>
    </row>
    <row r="36" spans="1:7" s="79" customFormat="1" ht="18" customHeight="1">
      <c r="A36" s="861"/>
      <c r="B36" s="728" t="s">
        <v>378</v>
      </c>
      <c r="C36" s="862">
        <v>2248</v>
      </c>
      <c r="D36" s="862">
        <f t="shared" si="3"/>
        <v>2248</v>
      </c>
      <c r="E36" s="767"/>
      <c r="F36" s="767"/>
      <c r="G36" s="81" t="s">
        <v>561</v>
      </c>
    </row>
    <row r="37" spans="1:7" s="79" customFormat="1" ht="45">
      <c r="A37" s="861"/>
      <c r="B37" s="728" t="s">
        <v>559</v>
      </c>
      <c r="C37" s="862">
        <v>8838</v>
      </c>
      <c r="D37" s="862">
        <f t="shared" si="3"/>
        <v>8838</v>
      </c>
      <c r="E37" s="767">
        <v>0</v>
      </c>
      <c r="F37" s="767">
        <v>0</v>
      </c>
      <c r="G37" s="81" t="s">
        <v>561</v>
      </c>
    </row>
    <row r="38" spans="1:7" s="81" customFormat="1" ht="45">
      <c r="A38" s="861"/>
      <c r="B38" s="728" t="s">
        <v>558</v>
      </c>
      <c r="C38" s="862">
        <v>25141</v>
      </c>
      <c r="D38" s="862">
        <f t="shared" si="3"/>
        <v>25141</v>
      </c>
      <c r="E38" s="767">
        <v>0</v>
      </c>
      <c r="F38" s="767">
        <v>0</v>
      </c>
      <c r="G38" s="81" t="s">
        <v>561</v>
      </c>
    </row>
    <row r="39" spans="1:7" s="81" customFormat="1" ht="18" customHeight="1">
      <c r="A39" s="861"/>
      <c r="B39" s="728" t="s">
        <v>555</v>
      </c>
      <c r="C39" s="862">
        <v>10886</v>
      </c>
      <c r="D39" s="862">
        <f t="shared" si="3"/>
        <v>10886</v>
      </c>
      <c r="E39" s="767"/>
      <c r="F39" s="767"/>
      <c r="G39" s="81" t="s">
        <v>561</v>
      </c>
    </row>
    <row r="40" spans="1:7" s="81" customFormat="1" ht="33" customHeight="1">
      <c r="A40" s="861" t="s">
        <v>252</v>
      </c>
      <c r="B40" s="764" t="s">
        <v>152</v>
      </c>
      <c r="C40" s="765">
        <f>SUM(C41:C42)</f>
        <v>49101</v>
      </c>
      <c r="D40" s="765">
        <f t="shared" ref="D40:F40" si="4">SUM(D41:D42)</f>
        <v>49101</v>
      </c>
      <c r="E40" s="765">
        <f t="shared" si="4"/>
        <v>0</v>
      </c>
      <c r="F40" s="765">
        <f t="shared" si="4"/>
        <v>0</v>
      </c>
      <c r="G40" s="81" t="s">
        <v>561</v>
      </c>
    </row>
    <row r="41" spans="1:7" s="81" customFormat="1" ht="30" customHeight="1">
      <c r="A41" s="861"/>
      <c r="B41" s="728" t="s">
        <v>367</v>
      </c>
      <c r="C41" s="862">
        <v>29837</v>
      </c>
      <c r="D41" s="862">
        <f>C41</f>
        <v>29837</v>
      </c>
      <c r="E41" s="767">
        <v>0</v>
      </c>
      <c r="F41" s="767">
        <v>0</v>
      </c>
      <c r="G41" s="81" t="s">
        <v>561</v>
      </c>
    </row>
    <row r="42" spans="1:7" s="81" customFormat="1" ht="30" customHeight="1">
      <c r="A42" s="861"/>
      <c r="B42" s="728" t="s">
        <v>309</v>
      </c>
      <c r="C42" s="862">
        <v>19264</v>
      </c>
      <c r="D42" s="862">
        <f>C42</f>
        <v>19264</v>
      </c>
      <c r="E42" s="767">
        <v>0</v>
      </c>
      <c r="F42" s="767">
        <v>0</v>
      </c>
      <c r="G42" s="81" t="s">
        <v>561</v>
      </c>
    </row>
    <row r="43" spans="1:7" s="79" customFormat="1" ht="33" customHeight="1">
      <c r="A43" s="861" t="s">
        <v>253</v>
      </c>
      <c r="B43" s="764" t="s">
        <v>254</v>
      </c>
      <c r="C43" s="765">
        <f>SUM(C44:C44)</f>
        <v>0</v>
      </c>
      <c r="D43" s="765">
        <f>SUM(D44:D44)</f>
        <v>0</v>
      </c>
      <c r="E43" s="765">
        <f t="shared" ref="E43" si="5">SUM(E44:E44)</f>
        <v>0</v>
      </c>
      <c r="F43" s="765">
        <f>SUM(F44:F44)</f>
        <v>0</v>
      </c>
    </row>
    <row r="44" spans="1:7" s="81" customFormat="1" ht="18" customHeight="1">
      <c r="A44" s="863"/>
      <c r="B44" s="772" t="s">
        <v>672</v>
      </c>
      <c r="C44" s="862"/>
      <c r="D44" s="862"/>
      <c r="E44" s="773">
        <v>0</v>
      </c>
      <c r="F44" s="773">
        <v>0</v>
      </c>
    </row>
    <row r="45" spans="1:7" s="81" customFormat="1" ht="33" customHeight="1">
      <c r="A45" s="861" t="s">
        <v>255</v>
      </c>
      <c r="B45" s="764" t="s">
        <v>256</v>
      </c>
      <c r="C45" s="765">
        <f>SUM(C46:C51)</f>
        <v>27223</v>
      </c>
      <c r="D45" s="765">
        <f>SUM(D46:D51)</f>
        <v>27223</v>
      </c>
      <c r="E45" s="765">
        <f>SUM(E46:E51)</f>
        <v>0</v>
      </c>
      <c r="F45" s="765">
        <f>SUM(F46:F51)</f>
        <v>0</v>
      </c>
    </row>
    <row r="46" spans="1:7" s="79" customFormat="1" ht="17.45" customHeight="1">
      <c r="A46" s="863"/>
      <c r="B46" s="772" t="s">
        <v>519</v>
      </c>
      <c r="C46" s="862">
        <v>1533</v>
      </c>
      <c r="D46" s="862">
        <v>1533</v>
      </c>
      <c r="E46" s="862"/>
      <c r="F46" s="773">
        <v>0</v>
      </c>
    </row>
    <row r="47" spans="1:7" s="79" customFormat="1" ht="17.45" customHeight="1">
      <c r="A47" s="863"/>
      <c r="B47" s="772" t="s">
        <v>656</v>
      </c>
      <c r="C47" s="862">
        <v>4292</v>
      </c>
      <c r="D47" s="971">
        <f>C47</f>
        <v>4292</v>
      </c>
      <c r="E47" s="862"/>
      <c r="F47" s="773">
        <v>0</v>
      </c>
      <c r="G47" s="79" t="s">
        <v>723</v>
      </c>
    </row>
    <row r="48" spans="1:7" s="79" customFormat="1" ht="17.45" customHeight="1">
      <c r="A48" s="863"/>
      <c r="B48" s="772" t="s">
        <v>562</v>
      </c>
      <c r="C48" s="862">
        <v>12238</v>
      </c>
      <c r="D48" s="862">
        <v>12238</v>
      </c>
      <c r="E48" s="862"/>
      <c r="F48" s="773"/>
      <c r="G48" s="79" t="s">
        <v>724</v>
      </c>
    </row>
    <row r="49" spans="1:7" s="79" customFormat="1" ht="43.5" customHeight="1">
      <c r="A49" s="863"/>
      <c r="B49" s="772" t="s">
        <v>521</v>
      </c>
      <c r="C49" s="862">
        <v>2160</v>
      </c>
      <c r="D49" s="862">
        <f>C49</f>
        <v>2160</v>
      </c>
      <c r="E49" s="862"/>
      <c r="F49" s="773">
        <v>0</v>
      </c>
      <c r="G49" s="79" t="s">
        <v>560</v>
      </c>
    </row>
    <row r="50" spans="1:7" s="79" customFormat="1" ht="21.75" customHeight="1">
      <c r="A50" s="863"/>
      <c r="B50" s="772" t="s">
        <v>520</v>
      </c>
      <c r="C50" s="862">
        <v>7000</v>
      </c>
      <c r="D50" s="862">
        <v>7000</v>
      </c>
      <c r="E50" s="862"/>
      <c r="F50" s="773"/>
    </row>
    <row r="51" spans="1:7" s="79" customFormat="1" ht="17.45" customHeight="1">
      <c r="A51" s="863"/>
      <c r="B51" s="772" t="s">
        <v>522</v>
      </c>
      <c r="C51" s="862">
        <v>0</v>
      </c>
      <c r="D51" s="773">
        <v>0</v>
      </c>
      <c r="E51" s="862">
        <v>0</v>
      </c>
      <c r="F51" s="773">
        <v>0</v>
      </c>
    </row>
    <row r="52" spans="1:7" s="79" customFormat="1" ht="35.1" customHeight="1">
      <c r="A52" s="858" t="s">
        <v>197</v>
      </c>
      <c r="B52" s="864" t="s">
        <v>211</v>
      </c>
      <c r="C52" s="860">
        <f>C53+C54</f>
        <v>497114</v>
      </c>
      <c r="D52" s="860">
        <f>D53+D54</f>
        <v>497114</v>
      </c>
      <c r="E52" s="860">
        <f>E53+E54</f>
        <v>0</v>
      </c>
      <c r="F52" s="860">
        <f>F53+F54</f>
        <v>0</v>
      </c>
    </row>
    <row r="53" spans="1:7" s="79" customFormat="1" ht="20.100000000000001" customHeight="1">
      <c r="A53" s="865" t="s">
        <v>257</v>
      </c>
      <c r="B53" s="776" t="s">
        <v>258</v>
      </c>
      <c r="C53" s="866">
        <v>0</v>
      </c>
      <c r="D53" s="866">
        <v>0</v>
      </c>
      <c r="E53" s="866">
        <v>0</v>
      </c>
      <c r="F53" s="783">
        <v>0</v>
      </c>
    </row>
    <row r="54" spans="1:7" s="79" customFormat="1" ht="28.5">
      <c r="A54" s="865" t="s">
        <v>259</v>
      </c>
      <c r="B54" s="776" t="s">
        <v>260</v>
      </c>
      <c r="C54" s="866">
        <f>SUM(C55:C57)</f>
        <v>497114</v>
      </c>
      <c r="D54" s="866">
        <f>SUM(D55:D57)</f>
        <v>497114</v>
      </c>
      <c r="E54" s="866"/>
      <c r="F54" s="866"/>
    </row>
    <row r="55" spans="1:7" s="79" customFormat="1">
      <c r="A55" s="865"/>
      <c r="B55" s="922" t="s">
        <v>766</v>
      </c>
      <c r="C55" s="866">
        <v>287114</v>
      </c>
      <c r="D55" s="866">
        <f>C55</f>
        <v>287114</v>
      </c>
      <c r="E55" s="866"/>
      <c r="F55" s="866"/>
    </row>
    <row r="56" spans="1:7" s="79" customFormat="1">
      <c r="A56" s="1001"/>
      <c r="B56" s="922" t="s">
        <v>765</v>
      </c>
      <c r="C56" s="866">
        <v>200000</v>
      </c>
      <c r="D56" s="866">
        <f>C56</f>
        <v>200000</v>
      </c>
      <c r="E56" s="1003"/>
      <c r="F56" s="1003"/>
    </row>
    <row r="57" spans="1:7" s="79" customFormat="1" ht="30">
      <c r="A57" s="865"/>
      <c r="B57" s="922" t="s">
        <v>769</v>
      </c>
      <c r="C57" s="866">
        <v>10000</v>
      </c>
      <c r="D57" s="866">
        <v>10000</v>
      </c>
      <c r="E57" s="866"/>
      <c r="F57" s="866"/>
    </row>
    <row r="58" spans="1:7" s="79" customFormat="1" ht="21" customHeight="1">
      <c r="A58" s="858" t="s">
        <v>198</v>
      </c>
      <c r="B58" s="864" t="s">
        <v>209</v>
      </c>
      <c r="C58" s="860">
        <f>C59+C62+C65</f>
        <v>1028000</v>
      </c>
      <c r="D58" s="860">
        <f>D59+D62+D65</f>
        <v>1028000</v>
      </c>
      <c r="E58" s="860">
        <f>E59+E62+E65</f>
        <v>0</v>
      </c>
      <c r="F58" s="860">
        <f>F59+F62+F65</f>
        <v>0</v>
      </c>
    </row>
    <row r="59" spans="1:7" s="79" customFormat="1" ht="20.100000000000001" customHeight="1">
      <c r="A59" s="865" t="s">
        <v>232</v>
      </c>
      <c r="B59" s="776" t="s">
        <v>233</v>
      </c>
      <c r="C59" s="866">
        <f>SUM(C60:C61)</f>
        <v>255000</v>
      </c>
      <c r="D59" s="866">
        <f>C59</f>
        <v>255000</v>
      </c>
      <c r="E59" s="866">
        <f t="shared" ref="E59:F59" si="6">SUM(E60:E61)</f>
        <v>0</v>
      </c>
      <c r="F59" s="866">
        <f t="shared" si="6"/>
        <v>0</v>
      </c>
    </row>
    <row r="60" spans="1:7" s="79" customFormat="1" ht="17.45" customHeight="1">
      <c r="A60" s="867"/>
      <c r="B60" s="777" t="s">
        <v>72</v>
      </c>
      <c r="C60" s="868">
        <v>225000</v>
      </c>
      <c r="D60" s="868">
        <f>C60</f>
        <v>225000</v>
      </c>
      <c r="E60" s="868"/>
      <c r="F60" s="775">
        <v>0</v>
      </c>
    </row>
    <row r="61" spans="1:7" s="79" customFormat="1" ht="17.45" customHeight="1">
      <c r="A61" s="867"/>
      <c r="B61" s="777" t="s">
        <v>73</v>
      </c>
      <c r="C61" s="868">
        <v>30000</v>
      </c>
      <c r="D61" s="868">
        <f>C61</f>
        <v>30000</v>
      </c>
      <c r="E61" s="868"/>
      <c r="F61" s="775">
        <v>0</v>
      </c>
    </row>
    <row r="62" spans="1:7" s="79" customFormat="1" ht="20.100000000000001" customHeight="1">
      <c r="A62" s="865" t="s">
        <v>242</v>
      </c>
      <c r="B62" s="778" t="s">
        <v>243</v>
      </c>
      <c r="C62" s="866">
        <f>SUM(C63:C64)</f>
        <v>766000</v>
      </c>
      <c r="D62" s="866">
        <f>SUM(D63:D64)</f>
        <v>766000</v>
      </c>
      <c r="E62" s="866">
        <f>SUM(E63:E64)</f>
        <v>0</v>
      </c>
      <c r="F62" s="866">
        <f>SUM(F63:F64)</f>
        <v>0</v>
      </c>
    </row>
    <row r="63" spans="1:7" s="79" customFormat="1" ht="17.45" customHeight="1">
      <c r="A63" s="869" t="s">
        <v>241</v>
      </c>
      <c r="B63" s="779" t="s">
        <v>74</v>
      </c>
      <c r="C63" s="781">
        <v>700000</v>
      </c>
      <c r="D63" s="781">
        <f>C63</f>
        <v>700000</v>
      </c>
      <c r="E63" s="781"/>
      <c r="F63" s="780">
        <v>0</v>
      </c>
    </row>
    <row r="64" spans="1:7" s="79" customFormat="1" ht="17.45" customHeight="1">
      <c r="A64" s="869" t="s">
        <v>237</v>
      </c>
      <c r="B64" s="779" t="s">
        <v>659</v>
      </c>
      <c r="C64" s="781">
        <v>66000</v>
      </c>
      <c r="D64" s="781">
        <f t="shared" ref="D64" si="7">C64</f>
        <v>66000</v>
      </c>
      <c r="E64" s="780"/>
      <c r="F64" s="780">
        <v>0</v>
      </c>
    </row>
    <row r="65" spans="1:7" s="79" customFormat="1" ht="20.100000000000001" customHeight="1">
      <c r="A65" s="865" t="s">
        <v>234</v>
      </c>
      <c r="B65" s="776" t="s">
        <v>235</v>
      </c>
      <c r="C65" s="866">
        <f>SUM(C66:C67)</f>
        <v>7000</v>
      </c>
      <c r="D65" s="866">
        <f>SUM(D66:D67)</f>
        <v>7000</v>
      </c>
      <c r="E65" s="866">
        <f>SUM(E67:E67)</f>
        <v>0</v>
      </c>
      <c r="F65" s="866">
        <f>SUM(F67:F67)</f>
        <v>0</v>
      </c>
    </row>
    <row r="66" spans="1:7" s="79" customFormat="1" ht="17.45" customHeight="1">
      <c r="A66" s="869"/>
      <c r="B66" s="779" t="s">
        <v>239</v>
      </c>
      <c r="C66" s="781">
        <v>2000</v>
      </c>
      <c r="D66" s="781">
        <f t="shared" ref="D66" si="8">C66</f>
        <v>2000</v>
      </c>
      <c r="E66" s="780"/>
      <c r="F66" s="780">
        <v>0</v>
      </c>
    </row>
    <row r="67" spans="1:7" s="79" customFormat="1" ht="17.45" customHeight="1">
      <c r="A67" s="869"/>
      <c r="B67" s="779" t="s">
        <v>965</v>
      </c>
      <c r="C67" s="781">
        <v>5000</v>
      </c>
      <c r="D67" s="781">
        <f>C67</f>
        <v>5000</v>
      </c>
      <c r="E67" s="781"/>
      <c r="F67" s="780">
        <v>0</v>
      </c>
      <c r="G67" s="79" t="s">
        <v>694</v>
      </c>
    </row>
    <row r="68" spans="1:7" s="80" customFormat="1" ht="21" customHeight="1">
      <c r="A68" s="870" t="s">
        <v>199</v>
      </c>
      <c r="B68" s="864" t="s">
        <v>67</v>
      </c>
      <c r="C68" s="860">
        <f>C69+C73+C74+C82+C84+C85+C86+C87</f>
        <v>273058</v>
      </c>
      <c r="D68" s="860">
        <f>D69+D73+D74+D82+D84+D85+D86+D87</f>
        <v>0</v>
      </c>
      <c r="E68" s="860">
        <f>E69+E73+E74+E82+E84+E85+E86+E87</f>
        <v>273058</v>
      </c>
      <c r="F68" s="860">
        <f>F69+F73+F74+F82+F84+F85+F86+F87</f>
        <v>0</v>
      </c>
    </row>
    <row r="69" spans="1:7" s="80" customFormat="1" ht="20.100000000000001" customHeight="1">
      <c r="A69" s="865" t="s">
        <v>217</v>
      </c>
      <c r="B69" s="776" t="s">
        <v>218</v>
      </c>
      <c r="C69" s="866">
        <f>SUM(C70:C72)</f>
        <v>7627</v>
      </c>
      <c r="D69" s="866">
        <f>SUM(D70:D72)</f>
        <v>0</v>
      </c>
      <c r="E69" s="866">
        <f>SUM(E70:E72)</f>
        <v>7627</v>
      </c>
      <c r="F69" s="866">
        <f>SUM(F70:F72)</f>
        <v>0</v>
      </c>
    </row>
    <row r="70" spans="1:7" s="80" customFormat="1" ht="17.45" customHeight="1">
      <c r="A70" s="867"/>
      <c r="B70" s="779" t="s">
        <v>382</v>
      </c>
      <c r="C70" s="868">
        <v>2827</v>
      </c>
      <c r="D70" s="868"/>
      <c r="E70" s="868">
        <v>2827</v>
      </c>
      <c r="F70" s="775"/>
      <c r="G70" s="80" t="s">
        <v>726</v>
      </c>
    </row>
    <row r="71" spans="1:7" s="80" customFormat="1" ht="17.45" customHeight="1">
      <c r="A71" s="867"/>
      <c r="B71" s="779" t="s">
        <v>542</v>
      </c>
      <c r="C71" s="868">
        <v>2500</v>
      </c>
      <c r="D71" s="868"/>
      <c r="E71" s="868">
        <f>C71</f>
        <v>2500</v>
      </c>
      <c r="F71" s="775">
        <v>0</v>
      </c>
      <c r="G71" s="80" t="s">
        <v>725</v>
      </c>
    </row>
    <row r="72" spans="1:7" s="80" customFormat="1" ht="17.45" customHeight="1">
      <c r="A72" s="867"/>
      <c r="B72" s="728" t="s">
        <v>71</v>
      </c>
      <c r="C72" s="781">
        <v>2300</v>
      </c>
      <c r="D72" s="868"/>
      <c r="E72" s="868">
        <v>2300</v>
      </c>
      <c r="F72" s="775">
        <v>0</v>
      </c>
      <c r="G72" s="80" t="s">
        <v>729</v>
      </c>
    </row>
    <row r="73" spans="1:7" s="80" customFormat="1" ht="20.100000000000001" customHeight="1">
      <c r="A73" s="865" t="s">
        <v>220</v>
      </c>
      <c r="B73" s="776" t="s">
        <v>219</v>
      </c>
      <c r="C73" s="866">
        <v>2000</v>
      </c>
      <c r="D73" s="866"/>
      <c r="E73" s="866">
        <v>2000</v>
      </c>
      <c r="F73" s="783">
        <v>0</v>
      </c>
      <c r="G73" s="80" t="s">
        <v>730</v>
      </c>
    </row>
    <row r="74" spans="1:7" s="80" customFormat="1" ht="20.100000000000001" customHeight="1">
      <c r="A74" s="865" t="s">
        <v>221</v>
      </c>
      <c r="B74" s="776" t="s">
        <v>222</v>
      </c>
      <c r="C74" s="866">
        <f>SUM(C75:C81)</f>
        <v>180366</v>
      </c>
      <c r="D74" s="866">
        <f>SUM(D75:D81)</f>
        <v>0</v>
      </c>
      <c r="E74" s="866">
        <f>SUM(E75:E81)</f>
        <v>180366</v>
      </c>
      <c r="F74" s="866">
        <f>SUM(F75:F81)</f>
        <v>0</v>
      </c>
    </row>
    <row r="75" spans="1:7" s="80" customFormat="1" ht="17.45" customHeight="1">
      <c r="A75" s="869"/>
      <c r="B75" s="779" t="s">
        <v>966</v>
      </c>
      <c r="C75" s="862">
        <v>50000</v>
      </c>
      <c r="D75" s="862"/>
      <c r="E75" s="862">
        <f t="shared" ref="E75:E81" si="9">C75</f>
        <v>50000</v>
      </c>
      <c r="F75" s="780">
        <v>0</v>
      </c>
      <c r="G75" s="80" t="s">
        <v>727</v>
      </c>
    </row>
    <row r="76" spans="1:7" s="80" customFormat="1" ht="17.45" customHeight="1">
      <c r="A76" s="869"/>
      <c r="B76" s="779" t="s">
        <v>967</v>
      </c>
      <c r="C76" s="862">
        <v>28000</v>
      </c>
      <c r="D76" s="862"/>
      <c r="E76" s="862">
        <f t="shared" si="9"/>
        <v>28000</v>
      </c>
      <c r="F76" s="780">
        <v>0</v>
      </c>
    </row>
    <row r="77" spans="1:7" s="80" customFormat="1" ht="17.45" customHeight="1">
      <c r="A77" s="869"/>
      <c r="B77" s="774" t="s">
        <v>332</v>
      </c>
      <c r="C77" s="781">
        <v>20600</v>
      </c>
      <c r="D77" s="974"/>
      <c r="E77" s="781">
        <f t="shared" si="9"/>
        <v>20600</v>
      </c>
      <c r="F77" s="780">
        <v>0</v>
      </c>
      <c r="G77" s="80" t="s">
        <v>770</v>
      </c>
    </row>
    <row r="78" spans="1:7" s="86" customFormat="1" ht="17.45" customHeight="1">
      <c r="A78" s="867"/>
      <c r="B78" s="728" t="s">
        <v>106</v>
      </c>
      <c r="C78" s="781">
        <v>500</v>
      </c>
      <c r="D78" s="972"/>
      <c r="E78" s="868">
        <f t="shared" si="9"/>
        <v>500</v>
      </c>
      <c r="F78" s="775">
        <v>0</v>
      </c>
      <c r="G78" s="86" t="s">
        <v>728</v>
      </c>
    </row>
    <row r="79" spans="1:7" s="80" customFormat="1" ht="28.9" customHeight="1">
      <c r="A79" s="867"/>
      <c r="B79" s="779" t="s">
        <v>70</v>
      </c>
      <c r="C79" s="781">
        <v>3266</v>
      </c>
      <c r="D79" s="868"/>
      <c r="E79" s="868">
        <f t="shared" si="9"/>
        <v>3266</v>
      </c>
      <c r="F79" s="775">
        <v>0</v>
      </c>
      <c r="G79" s="316" t="s">
        <v>731</v>
      </c>
    </row>
    <row r="80" spans="1:7" s="80" customFormat="1" ht="17.45" customHeight="1">
      <c r="A80" s="869"/>
      <c r="B80" s="779" t="s">
        <v>331</v>
      </c>
      <c r="C80" s="469">
        <v>16000</v>
      </c>
      <c r="D80" s="781"/>
      <c r="E80" s="781">
        <f t="shared" si="9"/>
        <v>16000</v>
      </c>
      <c r="F80" s="780">
        <v>0</v>
      </c>
      <c r="G80" s="80" t="s">
        <v>732</v>
      </c>
    </row>
    <row r="81" spans="1:7" s="79" customFormat="1" ht="29.45" customHeight="1">
      <c r="A81" s="869"/>
      <c r="B81" s="779" t="s">
        <v>330</v>
      </c>
      <c r="C81" s="469">
        <v>62000</v>
      </c>
      <c r="D81" s="781"/>
      <c r="E81" s="781">
        <f t="shared" si="9"/>
        <v>62000</v>
      </c>
      <c r="F81" s="780">
        <v>0</v>
      </c>
    </row>
    <row r="82" spans="1:7" s="79" customFormat="1" ht="20.65" customHeight="1">
      <c r="A82" s="865" t="s">
        <v>224</v>
      </c>
      <c r="B82" s="776" t="s">
        <v>223</v>
      </c>
      <c r="C82" s="765">
        <f>SUM(C83)</f>
        <v>51696</v>
      </c>
      <c r="D82" s="765">
        <f t="shared" ref="D82:F82" si="10">SUM(D83)</f>
        <v>0</v>
      </c>
      <c r="E82" s="765">
        <f t="shared" si="10"/>
        <v>51696</v>
      </c>
      <c r="F82" s="866">
        <f t="shared" si="10"/>
        <v>0</v>
      </c>
    </row>
    <row r="83" spans="1:7" s="79" customFormat="1" ht="60">
      <c r="A83" s="869"/>
      <c r="B83" s="779" t="s">
        <v>329</v>
      </c>
      <c r="C83" s="862">
        <v>51696</v>
      </c>
      <c r="D83" s="862"/>
      <c r="E83" s="862">
        <f>C83</f>
        <v>51696</v>
      </c>
      <c r="F83" s="780">
        <v>0</v>
      </c>
      <c r="G83" s="315" t="s">
        <v>734</v>
      </c>
    </row>
    <row r="84" spans="1:7" s="79" customFormat="1" ht="20.65" customHeight="1">
      <c r="A84" s="865" t="s">
        <v>225</v>
      </c>
      <c r="B84" s="776" t="s">
        <v>226</v>
      </c>
      <c r="C84" s="765">
        <f>13000+7000+10869</f>
        <v>30869</v>
      </c>
      <c r="D84" s="765"/>
      <c r="E84" s="765">
        <f>C84</f>
        <v>30869</v>
      </c>
      <c r="F84" s="866"/>
      <c r="G84" s="79" t="s">
        <v>775</v>
      </c>
    </row>
    <row r="85" spans="1:7" s="79" customFormat="1" ht="20.65" customHeight="1">
      <c r="A85" s="865" t="s">
        <v>227</v>
      </c>
      <c r="B85" s="776" t="s">
        <v>228</v>
      </c>
      <c r="C85" s="969"/>
      <c r="D85" s="969"/>
      <c r="E85" s="970"/>
      <c r="F85" s="775">
        <v>0</v>
      </c>
    </row>
    <row r="86" spans="1:7" s="79" customFormat="1" ht="20.65" customHeight="1">
      <c r="A86" s="865" t="s">
        <v>229</v>
      </c>
      <c r="B86" s="776" t="s">
        <v>230</v>
      </c>
      <c r="C86" s="866">
        <v>0</v>
      </c>
      <c r="D86" s="866">
        <v>0</v>
      </c>
      <c r="E86" s="866">
        <v>0</v>
      </c>
      <c r="F86" s="783">
        <v>0</v>
      </c>
    </row>
    <row r="87" spans="1:7" s="79" customFormat="1">
      <c r="A87" s="865" t="s">
        <v>348</v>
      </c>
      <c r="B87" s="776" t="s">
        <v>231</v>
      </c>
      <c r="C87" s="866">
        <v>500</v>
      </c>
      <c r="D87" s="866"/>
      <c r="E87" s="866">
        <v>500</v>
      </c>
      <c r="F87" s="783">
        <v>0</v>
      </c>
      <c r="G87" s="79" t="s">
        <v>733</v>
      </c>
    </row>
    <row r="88" spans="1:7" s="79" customFormat="1" ht="27.95" customHeight="1">
      <c r="A88" s="858" t="s">
        <v>200</v>
      </c>
      <c r="B88" s="864" t="s">
        <v>210</v>
      </c>
      <c r="C88" s="860">
        <f>C89+C92+C95</f>
        <v>10000</v>
      </c>
      <c r="D88" s="860">
        <f>D89+D92+D95</f>
        <v>0</v>
      </c>
      <c r="E88" s="860">
        <f>E89+E92+E95</f>
        <v>10000</v>
      </c>
      <c r="F88" s="860">
        <f>F89+F92+F95</f>
        <v>0</v>
      </c>
    </row>
    <row r="89" spans="1:7" s="80" customFormat="1" ht="20.65" customHeight="1">
      <c r="A89" s="865" t="s">
        <v>245</v>
      </c>
      <c r="B89" s="776" t="s">
        <v>244</v>
      </c>
      <c r="C89" s="866">
        <f>SUM(C90:C91)</f>
        <v>10000</v>
      </c>
      <c r="D89" s="866">
        <f>SUM(D90:D91)</f>
        <v>0</v>
      </c>
      <c r="E89" s="866">
        <f>SUM(E90:E91)</f>
        <v>10000</v>
      </c>
      <c r="F89" s="866">
        <f>SUM(F90:F91)</f>
        <v>0</v>
      </c>
    </row>
    <row r="90" spans="1:7" s="80" customFormat="1" ht="16.899999999999999" customHeight="1">
      <c r="A90" s="869"/>
      <c r="B90" s="779" t="s">
        <v>968</v>
      </c>
      <c r="C90" s="781">
        <v>0</v>
      </c>
      <c r="D90" s="781">
        <v>0</v>
      </c>
      <c r="E90" s="781">
        <v>0</v>
      </c>
      <c r="F90" s="780">
        <v>0</v>
      </c>
    </row>
    <row r="91" spans="1:7" s="80" customFormat="1" ht="16.899999999999999" customHeight="1">
      <c r="A91" s="869"/>
      <c r="B91" s="779" t="s">
        <v>969</v>
      </c>
      <c r="C91" s="862">
        <v>10000</v>
      </c>
      <c r="D91" s="862"/>
      <c r="E91" s="781">
        <f>C91</f>
        <v>10000</v>
      </c>
      <c r="F91" s="780">
        <v>0</v>
      </c>
    </row>
    <row r="92" spans="1:7" s="80" customFormat="1" ht="20.65" customHeight="1">
      <c r="A92" s="865" t="s">
        <v>246</v>
      </c>
      <c r="B92" s="776" t="s">
        <v>247</v>
      </c>
      <c r="C92" s="969"/>
      <c r="D92" s="969"/>
      <c r="E92" s="969"/>
      <c r="F92" s="866">
        <f t="shared" ref="F92" si="11">SUM(F93:F94)</f>
        <v>0</v>
      </c>
    </row>
    <row r="93" spans="1:7" s="80" customFormat="1" ht="16.899999999999999" customHeight="1">
      <c r="A93" s="869"/>
      <c r="B93" s="779" t="s">
        <v>322</v>
      </c>
      <c r="C93" s="781">
        <v>0</v>
      </c>
      <c r="D93" s="780">
        <v>0</v>
      </c>
      <c r="E93" s="780">
        <v>0</v>
      </c>
      <c r="F93" s="780">
        <v>0</v>
      </c>
    </row>
    <row r="94" spans="1:7" s="80" customFormat="1" ht="16.899999999999999" customHeight="1">
      <c r="A94" s="869"/>
      <c r="B94" s="779" t="s">
        <v>321</v>
      </c>
      <c r="C94" s="781">
        <v>0</v>
      </c>
      <c r="D94" s="780">
        <v>0</v>
      </c>
      <c r="E94" s="780">
        <v>0</v>
      </c>
      <c r="F94" s="780">
        <v>0</v>
      </c>
    </row>
    <row r="95" spans="1:7" s="80" customFormat="1" ht="20.65" customHeight="1">
      <c r="A95" s="865" t="s">
        <v>248</v>
      </c>
      <c r="B95" s="776" t="s">
        <v>249</v>
      </c>
      <c r="C95" s="866">
        <f>C96</f>
        <v>0</v>
      </c>
      <c r="D95" s="866">
        <f t="shared" ref="D95:F95" si="12">D96</f>
        <v>0</v>
      </c>
      <c r="E95" s="866">
        <f t="shared" si="12"/>
        <v>0</v>
      </c>
      <c r="F95" s="866">
        <f t="shared" si="12"/>
        <v>0</v>
      </c>
    </row>
    <row r="96" spans="1:7" s="80" customFormat="1" ht="16.899999999999999" customHeight="1">
      <c r="A96" s="865"/>
      <c r="B96" s="774" t="s">
        <v>370</v>
      </c>
      <c r="C96" s="781">
        <v>0</v>
      </c>
      <c r="D96" s="783">
        <v>0</v>
      </c>
      <c r="E96" s="781">
        <v>0</v>
      </c>
      <c r="F96" s="783">
        <v>0</v>
      </c>
    </row>
    <row r="97" spans="1:10" s="80" customFormat="1" ht="27.95" customHeight="1">
      <c r="A97" s="858" t="s">
        <v>201</v>
      </c>
      <c r="B97" s="864" t="s">
        <v>212</v>
      </c>
      <c r="C97" s="860">
        <f>C98</f>
        <v>200</v>
      </c>
      <c r="D97" s="860">
        <f t="shared" ref="D97:F97" si="13">D98</f>
        <v>200</v>
      </c>
      <c r="E97" s="860">
        <f t="shared" si="13"/>
        <v>0</v>
      </c>
      <c r="F97" s="860">
        <f t="shared" si="13"/>
        <v>0</v>
      </c>
    </row>
    <row r="98" spans="1:10" s="80" customFormat="1" ht="20.65" customHeight="1">
      <c r="A98" s="865" t="s">
        <v>657</v>
      </c>
      <c r="B98" s="776" t="s">
        <v>262</v>
      </c>
      <c r="C98" s="866">
        <f>SUM(C99:C99)</f>
        <v>200</v>
      </c>
      <c r="D98" s="866">
        <f>SUM(D99:D99)</f>
        <v>200</v>
      </c>
      <c r="E98" s="866">
        <f>SUM(E99:E99)</f>
        <v>0</v>
      </c>
      <c r="F98" s="866">
        <f>SUM(F99:F99)</f>
        <v>0</v>
      </c>
    </row>
    <row r="99" spans="1:10" s="80" customFormat="1" ht="30" customHeight="1" thickBot="1">
      <c r="A99" s="869"/>
      <c r="B99" s="774" t="s">
        <v>371</v>
      </c>
      <c r="C99" s="781">
        <v>200</v>
      </c>
      <c r="D99" s="780">
        <v>200</v>
      </c>
      <c r="E99" s="781"/>
      <c r="F99" s="783">
        <v>0</v>
      </c>
      <c r="G99" s="80" t="s">
        <v>735</v>
      </c>
    </row>
    <row r="100" spans="1:10" s="80" customFormat="1" ht="27.95" customHeight="1" thickBot="1">
      <c r="A100" s="858" t="s">
        <v>202</v>
      </c>
      <c r="B100" s="864" t="s">
        <v>213</v>
      </c>
      <c r="C100" s="860">
        <f>C101</f>
        <v>5300</v>
      </c>
      <c r="D100" s="860">
        <f t="shared" ref="D100:F100" si="14">D101</f>
        <v>5300</v>
      </c>
      <c r="E100" s="860">
        <f t="shared" si="14"/>
        <v>0</v>
      </c>
      <c r="F100" s="860">
        <f t="shared" si="14"/>
        <v>0</v>
      </c>
      <c r="J100" s="324"/>
    </row>
    <row r="101" spans="1:10" s="79" customFormat="1" ht="30" customHeight="1">
      <c r="A101" s="865" t="s">
        <v>381</v>
      </c>
      <c r="B101" s="782" t="s">
        <v>347</v>
      </c>
      <c r="C101" s="866">
        <f>SUM(C102:C103)</f>
        <v>5300</v>
      </c>
      <c r="D101" s="866">
        <f>SUM(D102:D103)</f>
        <v>5300</v>
      </c>
      <c r="E101" s="866">
        <f>SUM(E102:E102)</f>
        <v>0</v>
      </c>
      <c r="F101" s="866">
        <f>SUM(F102:F102)</f>
        <v>0</v>
      </c>
    </row>
    <row r="102" spans="1:10" s="81" customFormat="1" ht="27" customHeight="1">
      <c r="A102" s="869"/>
      <c r="B102" s="772" t="s">
        <v>533</v>
      </c>
      <c r="C102" s="862">
        <v>300</v>
      </c>
      <c r="D102" s="862">
        <v>300</v>
      </c>
      <c r="E102" s="781"/>
      <c r="F102" s="781">
        <v>0</v>
      </c>
      <c r="G102" s="14" t="s">
        <v>744</v>
      </c>
    </row>
    <row r="103" spans="1:10" ht="20.65" customHeight="1">
      <c r="A103" s="865"/>
      <c r="B103" s="927" t="s">
        <v>661</v>
      </c>
      <c r="C103" s="862">
        <v>5000</v>
      </c>
      <c r="D103" s="862">
        <v>5000</v>
      </c>
      <c r="E103" s="866"/>
      <c r="F103" s="866"/>
      <c r="G103" s="14" t="s">
        <v>744</v>
      </c>
    </row>
    <row r="104" spans="1:10" ht="27.95" customHeight="1">
      <c r="A104" s="858" t="s">
        <v>203</v>
      </c>
      <c r="B104" s="864" t="s">
        <v>75</v>
      </c>
      <c r="C104" s="860">
        <f>C105++C109+C106+C107</f>
        <v>869721</v>
      </c>
      <c r="D104" s="860">
        <f>D105+D106+D107</f>
        <v>869721</v>
      </c>
      <c r="E104" s="860">
        <f t="shared" ref="E104:F104" si="15">E105+E106+E107</f>
        <v>0</v>
      </c>
      <c r="F104" s="860">
        <f t="shared" si="15"/>
        <v>0</v>
      </c>
    </row>
    <row r="105" spans="1:10" s="79" customFormat="1" ht="20.65" customHeight="1">
      <c r="A105" s="865" t="s">
        <v>266</v>
      </c>
      <c r="B105" s="776" t="s">
        <v>267</v>
      </c>
      <c r="C105" s="781">
        <v>0</v>
      </c>
      <c r="D105" s="781">
        <v>0</v>
      </c>
      <c r="E105" s="781">
        <v>0</v>
      </c>
      <c r="F105" s="780">
        <v>0</v>
      </c>
    </row>
    <row r="106" spans="1:10" s="79" customFormat="1" ht="20.65" customHeight="1">
      <c r="A106" s="865" t="s">
        <v>264</v>
      </c>
      <c r="B106" s="776" t="s">
        <v>265</v>
      </c>
      <c r="C106" s="866">
        <v>0</v>
      </c>
      <c r="D106" s="866">
        <v>0</v>
      </c>
      <c r="E106" s="866">
        <v>0</v>
      </c>
      <c r="F106" s="783">
        <v>0</v>
      </c>
    </row>
    <row r="107" spans="1:10" s="79" customFormat="1" ht="20.65" customHeight="1">
      <c r="A107" s="865" t="s">
        <v>268</v>
      </c>
      <c r="B107" s="776" t="s">
        <v>269</v>
      </c>
      <c r="C107" s="866">
        <f>C108</f>
        <v>869721</v>
      </c>
      <c r="D107" s="866">
        <f>D108</f>
        <v>869721</v>
      </c>
      <c r="E107" s="866">
        <f t="shared" ref="E107:F107" si="16">E108</f>
        <v>0</v>
      </c>
      <c r="F107" s="866">
        <f t="shared" si="16"/>
        <v>0</v>
      </c>
    </row>
    <row r="108" spans="1:10" s="81" customFormat="1" ht="30" customHeight="1">
      <c r="A108" s="869"/>
      <c r="B108" s="774" t="s">
        <v>434</v>
      </c>
      <c r="C108" s="862">
        <f>300000+46093+312479+29579+24045+146789+30000-19264</f>
        <v>869721</v>
      </c>
      <c r="D108" s="862">
        <f>C108</f>
        <v>869721</v>
      </c>
      <c r="E108" s="868">
        <v>0</v>
      </c>
      <c r="F108" s="783">
        <v>0</v>
      </c>
    </row>
    <row r="109" spans="1:10" s="81" customFormat="1" ht="30" customHeight="1">
      <c r="A109" s="1001" t="s">
        <v>685</v>
      </c>
      <c r="B109" s="1002" t="s">
        <v>683</v>
      </c>
      <c r="C109" s="1003"/>
      <c r="D109" s="1003"/>
      <c r="E109" s="999"/>
      <c r="F109" s="1000"/>
    </row>
    <row r="110" spans="1:10" s="92" customFormat="1" ht="27.95" customHeight="1">
      <c r="A110" s="871" t="s">
        <v>0</v>
      </c>
      <c r="B110" s="859"/>
      <c r="C110" s="860">
        <f>C4+C52+C58+C68+C88+C97+C100+C104</f>
        <v>3945335</v>
      </c>
      <c r="D110" s="860">
        <f>D4+D52+D58+D68+D88+D97+D100+D104</f>
        <v>3662277</v>
      </c>
      <c r="E110" s="860">
        <f>E4+E52+E58+E68+E88+E97+E100+E104</f>
        <v>283058</v>
      </c>
      <c r="F110" s="860">
        <f>F4+F52+F58+F68+F88+F97+F100+F104</f>
        <v>0</v>
      </c>
    </row>
    <row r="111" spans="1:10" s="87" customFormat="1" ht="20.100000000000001" customHeight="1">
      <c r="A111" s="81"/>
      <c r="B111" s="314"/>
    </row>
    <row r="112" spans="1:10" s="81" customFormat="1" ht="20.100000000000001" customHeight="1">
      <c r="B112" s="314"/>
      <c r="D112" s="88" t="s">
        <v>55</v>
      </c>
    </row>
    <row r="113" spans="1:2" s="79" customFormat="1" ht="20.100000000000001" customHeight="1">
      <c r="B113" s="315"/>
    </row>
    <row r="114" spans="1:2" s="81" customFormat="1" ht="20.100000000000001" customHeight="1">
      <c r="B114" s="314"/>
    </row>
    <row r="115" spans="1:2" s="81" customFormat="1" ht="20.100000000000001" customHeight="1">
      <c r="B115" s="314"/>
    </row>
    <row r="116" spans="1:2" s="81" customFormat="1" ht="23.1" customHeight="1">
      <c r="B116" s="314"/>
    </row>
    <row r="117" spans="1:2" s="79" customFormat="1" ht="20.100000000000001" customHeight="1">
      <c r="B117" s="315"/>
    </row>
    <row r="118" spans="1:2" s="80" customFormat="1" ht="20.100000000000001" customHeight="1">
      <c r="B118" s="316"/>
    </row>
    <row r="119" spans="1:2" s="79" customFormat="1" ht="20.100000000000001" customHeight="1">
      <c r="B119" s="315"/>
    </row>
    <row r="120" spans="1:2" s="87" customFormat="1" ht="24.95" customHeight="1">
      <c r="A120" s="81"/>
      <c r="B120" s="314"/>
    </row>
    <row r="121" spans="1:2" s="87" customFormat="1">
      <c r="A121" s="81"/>
      <c r="B121" s="314"/>
    </row>
    <row r="122" spans="1:2" s="87" customFormat="1">
      <c r="A122" s="81"/>
      <c r="B122" s="314"/>
    </row>
    <row r="123" spans="1:2" s="87" customFormat="1">
      <c r="A123" s="81"/>
      <c r="B123" s="314"/>
    </row>
    <row r="124" spans="1:2" s="87" customFormat="1">
      <c r="A124" s="81"/>
      <c r="B124" s="314"/>
    </row>
    <row r="125" spans="1:2" s="87" customFormat="1">
      <c r="A125" s="81"/>
      <c r="B125" s="314"/>
    </row>
    <row r="126" spans="1:2" s="87" customFormat="1">
      <c r="A126" s="81"/>
      <c r="B126" s="314"/>
    </row>
    <row r="127" spans="1:2" s="87" customFormat="1">
      <c r="A127" s="81"/>
      <c r="B127" s="314"/>
    </row>
    <row r="128" spans="1:2" s="87" customFormat="1">
      <c r="A128" s="81"/>
      <c r="B128" s="314"/>
    </row>
    <row r="129" spans="1:2" s="87" customFormat="1">
      <c r="A129" s="81"/>
      <c r="B129" s="314"/>
    </row>
    <row r="130" spans="1:2" s="87" customFormat="1">
      <c r="A130" s="81"/>
      <c r="B130" s="314"/>
    </row>
    <row r="131" spans="1:2" s="87" customFormat="1">
      <c r="A131" s="81"/>
      <c r="B131" s="314"/>
    </row>
    <row r="132" spans="1:2" s="87" customFormat="1">
      <c r="A132" s="81"/>
      <c r="B132" s="314"/>
    </row>
    <row r="133" spans="1:2" s="87" customFormat="1">
      <c r="A133" s="81"/>
      <c r="B133" s="314"/>
    </row>
    <row r="134" spans="1:2" s="87" customFormat="1">
      <c r="A134" s="81"/>
      <c r="B134" s="314"/>
    </row>
    <row r="135" spans="1:2" s="87" customFormat="1">
      <c r="A135" s="81"/>
      <c r="B135" s="314"/>
    </row>
    <row r="136" spans="1:2" s="87" customFormat="1">
      <c r="A136" s="81"/>
      <c r="B136" s="314"/>
    </row>
    <row r="137" spans="1:2" s="87" customFormat="1">
      <c r="A137" s="81"/>
      <c r="B137" s="314"/>
    </row>
    <row r="138" spans="1:2" s="87" customFormat="1">
      <c r="A138" s="81"/>
      <c r="B138" s="314"/>
    </row>
    <row r="139" spans="1:2" s="87" customFormat="1">
      <c r="A139" s="81"/>
      <c r="B139" s="314"/>
    </row>
    <row r="140" spans="1:2" s="87" customFormat="1">
      <c r="A140" s="81"/>
      <c r="B140" s="314"/>
    </row>
    <row r="141" spans="1:2" s="87" customFormat="1">
      <c r="A141" s="81"/>
      <c r="B141" s="314"/>
    </row>
    <row r="142" spans="1:2" s="87" customFormat="1">
      <c r="A142" s="81"/>
      <c r="B142" s="314"/>
    </row>
    <row r="143" spans="1:2" s="87" customFormat="1">
      <c r="A143" s="81"/>
      <c r="B143" s="314"/>
    </row>
    <row r="144" spans="1:2" s="87" customFormat="1">
      <c r="A144" s="81"/>
      <c r="B144" s="314"/>
    </row>
    <row r="145" spans="1:6" s="87" customFormat="1">
      <c r="A145" s="81"/>
      <c r="B145" s="314"/>
    </row>
    <row r="146" spans="1:6" s="87" customFormat="1">
      <c r="A146" s="81"/>
      <c r="B146" s="314"/>
    </row>
    <row r="147" spans="1:6" s="87" customFormat="1">
      <c r="A147" s="81"/>
      <c r="B147" s="314"/>
    </row>
    <row r="148" spans="1:6" s="87" customFormat="1">
      <c r="A148" s="81"/>
      <c r="B148" s="314"/>
    </row>
    <row r="149" spans="1:6" s="87" customFormat="1">
      <c r="A149" s="81"/>
      <c r="B149" s="314"/>
    </row>
    <row r="150" spans="1:6" s="87" customFormat="1">
      <c r="A150" s="81"/>
      <c r="B150" s="314"/>
    </row>
    <row r="151" spans="1:6" s="87" customFormat="1">
      <c r="A151" s="81"/>
      <c r="B151" s="314"/>
    </row>
    <row r="152" spans="1:6" s="87" customFormat="1">
      <c r="A152" s="81"/>
      <c r="B152" s="314"/>
    </row>
    <row r="153" spans="1:6" s="87" customFormat="1">
      <c r="A153" s="81"/>
      <c r="B153" s="314"/>
    </row>
    <row r="154" spans="1:6" s="87" customFormat="1">
      <c r="A154" s="81"/>
      <c r="B154" s="314"/>
    </row>
    <row r="155" spans="1:6" s="87" customFormat="1">
      <c r="A155" s="81"/>
      <c r="B155" s="314"/>
    </row>
    <row r="156" spans="1:6" s="87" customFormat="1">
      <c r="A156" s="81"/>
      <c r="B156" s="314"/>
    </row>
    <row r="157" spans="1:6" s="87" customFormat="1">
      <c r="A157" s="81"/>
      <c r="B157" s="314"/>
    </row>
    <row r="158" spans="1:6" s="87" customFormat="1">
      <c r="A158" s="81"/>
      <c r="B158" s="314"/>
    </row>
    <row r="159" spans="1:6" s="87" customFormat="1">
      <c r="A159" s="81"/>
      <c r="B159" s="314"/>
    </row>
    <row r="160" spans="1:6" s="87" customFormat="1">
      <c r="A160" s="114"/>
      <c r="B160" s="694"/>
      <c r="C160" s="75"/>
      <c r="D160" s="89"/>
      <c r="E160" s="91"/>
      <c r="F160" s="89"/>
    </row>
    <row r="161" spans="1:6" s="87" customFormat="1">
      <c r="A161" s="114"/>
      <c r="B161" s="694"/>
      <c r="C161" s="75"/>
      <c r="D161" s="89"/>
      <c r="E161" s="91"/>
      <c r="F161" s="89"/>
    </row>
    <row r="162" spans="1:6" s="87" customFormat="1">
      <c r="A162" s="114"/>
      <c r="B162" s="694"/>
      <c r="C162" s="75"/>
      <c r="D162" s="89"/>
      <c r="E162" s="91"/>
      <c r="F162" s="89"/>
    </row>
    <row r="163" spans="1:6" s="87" customFormat="1">
      <c r="A163" s="114"/>
      <c r="B163" s="694"/>
      <c r="C163" s="75"/>
      <c r="D163" s="89"/>
      <c r="E163" s="91"/>
      <c r="F163" s="89"/>
    </row>
    <row r="164" spans="1:6" s="87" customFormat="1">
      <c r="A164" s="114"/>
      <c r="B164" s="694"/>
      <c r="C164" s="75"/>
      <c r="D164" s="89"/>
      <c r="E164" s="91"/>
      <c r="F164" s="89"/>
    </row>
    <row r="165" spans="1:6" s="87" customFormat="1">
      <c r="A165" s="114"/>
      <c r="B165" s="694"/>
      <c r="C165" s="75"/>
      <c r="D165" s="89"/>
      <c r="E165" s="91"/>
      <c r="F165" s="89"/>
    </row>
    <row r="166" spans="1:6" s="87" customFormat="1">
      <c r="A166" s="114"/>
      <c r="B166" s="694"/>
      <c r="C166" s="75"/>
      <c r="D166" s="89"/>
      <c r="E166" s="91"/>
      <c r="F166" s="89"/>
    </row>
    <row r="167" spans="1:6" s="87" customFormat="1">
      <c r="A167" s="114"/>
      <c r="B167" s="694"/>
      <c r="C167" s="75"/>
      <c r="D167" s="89"/>
      <c r="E167" s="91"/>
      <c r="F167" s="89"/>
    </row>
    <row r="168" spans="1:6" s="87" customFormat="1">
      <c r="A168" s="114"/>
      <c r="B168" s="694"/>
      <c r="C168" s="75"/>
      <c r="D168" s="89"/>
      <c r="E168" s="91"/>
      <c r="F168" s="89"/>
    </row>
    <row r="169" spans="1:6" s="87" customFormat="1">
      <c r="A169" s="114"/>
      <c r="B169" s="694"/>
      <c r="C169" s="75"/>
      <c r="D169" s="89"/>
      <c r="E169" s="91"/>
      <c r="F169" s="89"/>
    </row>
    <row r="170" spans="1:6" s="87" customFormat="1">
      <c r="A170" s="114"/>
      <c r="B170" s="694"/>
      <c r="C170" s="75"/>
      <c r="D170" s="89"/>
      <c r="E170" s="91"/>
      <c r="F170" s="89"/>
    </row>
    <row r="171" spans="1:6" s="87" customFormat="1">
      <c r="A171" s="114"/>
      <c r="B171" s="694"/>
      <c r="C171" s="75"/>
      <c r="D171" s="89"/>
      <c r="E171" s="91"/>
      <c r="F171" s="89"/>
    </row>
    <row r="172" spans="1:6" s="87" customFormat="1">
      <c r="A172" s="114"/>
      <c r="B172" s="694"/>
      <c r="C172" s="75"/>
      <c r="D172" s="89"/>
      <c r="E172" s="91"/>
      <c r="F172" s="89"/>
    </row>
    <row r="173" spans="1:6" s="87" customFormat="1">
      <c r="A173" s="114"/>
      <c r="B173" s="694"/>
      <c r="C173" s="75"/>
      <c r="D173" s="89"/>
      <c r="E173" s="91"/>
      <c r="F173" s="89"/>
    </row>
    <row r="174" spans="1:6" s="87" customFormat="1">
      <c r="A174" s="114"/>
      <c r="B174" s="694"/>
      <c r="C174" s="75"/>
      <c r="D174" s="89"/>
      <c r="E174" s="91"/>
      <c r="F174" s="89"/>
    </row>
    <row r="175" spans="1:6" s="87" customFormat="1">
      <c r="A175" s="114"/>
      <c r="B175" s="694"/>
      <c r="C175" s="75"/>
      <c r="D175" s="89"/>
      <c r="E175" s="91"/>
      <c r="F175" s="89"/>
    </row>
    <row r="176" spans="1:6" s="87" customFormat="1">
      <c r="A176" s="114"/>
      <c r="B176" s="694"/>
      <c r="C176" s="75"/>
      <c r="D176" s="89"/>
      <c r="E176" s="91"/>
      <c r="F176" s="89"/>
    </row>
    <row r="177" spans="1:6" s="87" customFormat="1">
      <c r="A177" s="114"/>
      <c r="B177" s="694"/>
      <c r="C177" s="75"/>
      <c r="D177" s="89"/>
      <c r="E177" s="91"/>
      <c r="F177" s="89"/>
    </row>
    <row r="178" spans="1:6" s="87" customFormat="1">
      <c r="A178" s="114"/>
      <c r="B178" s="694"/>
      <c r="C178" s="75"/>
      <c r="D178" s="89"/>
      <c r="E178" s="91"/>
      <c r="F178" s="89"/>
    </row>
    <row r="179" spans="1:6" s="87" customFormat="1">
      <c r="A179" s="114"/>
      <c r="B179" s="694"/>
      <c r="C179" s="75"/>
      <c r="D179" s="89"/>
      <c r="E179" s="91"/>
      <c r="F179" s="89"/>
    </row>
    <row r="180" spans="1:6" s="87" customFormat="1">
      <c r="A180" s="114"/>
      <c r="B180" s="694"/>
      <c r="C180" s="75"/>
      <c r="D180" s="89"/>
      <c r="E180" s="91"/>
      <c r="F180" s="89"/>
    </row>
    <row r="181" spans="1:6" s="87" customFormat="1">
      <c r="A181" s="114"/>
      <c r="B181" s="694"/>
      <c r="C181" s="75"/>
      <c r="D181" s="89"/>
      <c r="E181" s="91"/>
      <c r="F181" s="89"/>
    </row>
    <row r="182" spans="1:6" s="87" customFormat="1">
      <c r="A182" s="114"/>
      <c r="B182" s="694"/>
      <c r="C182" s="75"/>
      <c r="D182" s="89"/>
      <c r="E182" s="91"/>
      <c r="F182" s="89"/>
    </row>
    <row r="183" spans="1:6" s="87" customFormat="1">
      <c r="A183" s="114"/>
      <c r="B183" s="694"/>
      <c r="C183" s="75"/>
      <c r="D183" s="89"/>
      <c r="E183" s="91"/>
      <c r="F183" s="89"/>
    </row>
    <row r="184" spans="1:6" s="87" customFormat="1">
      <c r="A184" s="114"/>
      <c r="B184" s="694"/>
      <c r="C184" s="75"/>
      <c r="D184" s="89"/>
      <c r="E184" s="91"/>
      <c r="F184" s="89"/>
    </row>
    <row r="185" spans="1:6" s="87" customFormat="1">
      <c r="A185" s="114"/>
      <c r="B185" s="694"/>
      <c r="C185" s="75"/>
      <c r="D185" s="89"/>
      <c r="E185" s="91"/>
      <c r="F185" s="89"/>
    </row>
    <row r="186" spans="1:6" s="87" customFormat="1">
      <c r="A186" s="114"/>
      <c r="B186" s="694"/>
      <c r="C186" s="75"/>
      <c r="D186" s="22"/>
      <c r="E186" s="75"/>
      <c r="F186" s="22"/>
    </row>
    <row r="187" spans="1:6" s="87" customFormat="1">
      <c r="A187" s="112"/>
      <c r="B187" s="694"/>
      <c r="C187" s="75"/>
      <c r="D187" s="22"/>
      <c r="E187" s="75"/>
      <c r="F187" s="22"/>
    </row>
    <row r="188" spans="1:6" s="87" customFormat="1">
      <c r="A188" s="112"/>
      <c r="B188" s="694"/>
      <c r="C188" s="75"/>
      <c r="D188" s="22"/>
      <c r="E188" s="75"/>
      <c r="F188" s="22"/>
    </row>
    <row r="189" spans="1:6" s="87" customFormat="1">
      <c r="A189" s="112"/>
      <c r="B189" s="694"/>
      <c r="C189" s="75"/>
      <c r="D189" s="22"/>
      <c r="E189" s="75"/>
      <c r="F189" s="22"/>
    </row>
    <row r="190" spans="1:6" s="87" customFormat="1">
      <c r="A190" s="112"/>
      <c r="B190" s="694"/>
      <c r="C190" s="75"/>
      <c r="D190" s="22"/>
      <c r="E190" s="75"/>
      <c r="F190" s="22"/>
    </row>
    <row r="191" spans="1:6" s="87" customFormat="1">
      <c r="A191" s="112"/>
      <c r="B191" s="694"/>
      <c r="C191" s="75"/>
      <c r="D191" s="22"/>
      <c r="E191" s="75"/>
      <c r="F191" s="22"/>
    </row>
    <row r="192" spans="1:6" s="87" customFormat="1">
      <c r="A192" s="112"/>
      <c r="B192" s="694"/>
      <c r="C192" s="75"/>
      <c r="D192" s="22"/>
      <c r="E192" s="75"/>
      <c r="F192" s="22"/>
    </row>
    <row r="193" spans="1:6" s="87" customFormat="1">
      <c r="A193" s="112"/>
      <c r="B193" s="694"/>
      <c r="C193" s="75"/>
      <c r="D193" s="22"/>
      <c r="E193" s="75"/>
      <c r="F193" s="22"/>
    </row>
    <row r="194" spans="1:6" s="87" customFormat="1">
      <c r="A194" s="112"/>
      <c r="B194" s="694"/>
      <c r="C194" s="75"/>
      <c r="D194" s="22"/>
      <c r="E194" s="75"/>
      <c r="F194" s="22"/>
    </row>
    <row r="195" spans="1:6" s="87" customFormat="1">
      <c r="A195" s="112"/>
      <c r="B195" s="694"/>
      <c r="C195" s="75"/>
      <c r="D195" s="22"/>
      <c r="E195" s="75"/>
      <c r="F195" s="22"/>
    </row>
  </sheetData>
  <mergeCells count="2">
    <mergeCell ref="A1:F1"/>
    <mergeCell ref="E2:F2"/>
  </mergeCells>
  <phoneticPr fontId="5" type="noConversion"/>
  <printOptions horizontalCentered="1"/>
  <pageMargins left="0.51181102362204722" right="0.51181102362204722" top="0.78740157480314965" bottom="0.78740157480314965" header="0.51181102362204722" footer="0.31496062992125984"/>
  <pageSetup paperSize="9" scale="74" orientation="portrait" r:id="rId1"/>
  <headerFooter>
    <oddHeader>&amp;L&amp;"Arial,Dőlt" &amp;U4. melléklet a 2/2020. (II.14.) önkormányzati rendelethez</oddHeader>
    <oddFooter xml:space="preserve">&amp;C&amp;9 </oddFooter>
  </headerFooter>
  <rowBreaks count="2" manualBreakCount="2">
    <brk id="39" max="5" man="1"/>
    <brk id="8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H30"/>
  <sheetViews>
    <sheetView view="pageLayout" zoomScale="89" zoomScaleNormal="100" zoomScaleSheetLayoutView="100" zoomScalePageLayoutView="89" workbookViewId="0">
      <selection activeCell="B5" sqref="B5"/>
    </sheetView>
  </sheetViews>
  <sheetFormatPr defaultRowHeight="14.25"/>
  <cols>
    <col min="1" max="1" width="7.140625" style="12" customWidth="1"/>
    <col min="2" max="2" width="73.85546875" style="12" customWidth="1"/>
    <col min="3" max="3" width="14.28515625" style="147" customWidth="1"/>
    <col min="4" max="4" width="14.28515625" style="145" customWidth="1"/>
    <col min="5" max="5" width="13.42578125" style="145" bestFit="1" customWidth="1"/>
    <col min="6" max="6" width="12.7109375" style="12" customWidth="1"/>
    <col min="7" max="7" width="47.85546875" customWidth="1"/>
    <col min="8" max="8" width="35" customWidth="1"/>
  </cols>
  <sheetData>
    <row r="1" spans="1:8" s="15" customFormat="1" ht="36" customHeight="1">
      <c r="A1" s="1240" t="s">
        <v>160</v>
      </c>
      <c r="B1" s="1240"/>
      <c r="C1" s="1240"/>
      <c r="D1" s="1240"/>
      <c r="E1" s="1240"/>
      <c r="F1" s="1240"/>
    </row>
    <row r="2" spans="1:8" s="15" customFormat="1" ht="12" customHeight="1" thickBot="1">
      <c r="A2" s="1052"/>
      <c r="B2" s="1052"/>
      <c r="C2" s="1052"/>
      <c r="D2" s="1052"/>
      <c r="E2" s="1241" t="s">
        <v>692</v>
      </c>
      <c r="F2" s="1241"/>
    </row>
    <row r="3" spans="1:8" s="139" customFormat="1" ht="42" customHeight="1" thickBot="1">
      <c r="A3" s="367" t="s">
        <v>82</v>
      </c>
      <c r="B3" s="368" t="s">
        <v>65</v>
      </c>
      <c r="C3" s="151" t="s">
        <v>148</v>
      </c>
      <c r="D3" s="152" t="s">
        <v>165</v>
      </c>
      <c r="E3" s="152" t="s">
        <v>166</v>
      </c>
      <c r="F3" s="790" t="s">
        <v>161</v>
      </c>
    </row>
    <row r="4" spans="1:8" s="140" customFormat="1" ht="28.9" customHeight="1">
      <c r="A4" s="149" t="s">
        <v>196</v>
      </c>
      <c r="B4" s="85" t="s">
        <v>964</v>
      </c>
      <c r="C4" s="150">
        <v>0</v>
      </c>
      <c r="D4" s="150">
        <v>0</v>
      </c>
      <c r="E4" s="150">
        <v>0</v>
      </c>
      <c r="F4" s="789">
        <v>0</v>
      </c>
    </row>
    <row r="5" spans="1:8" s="140" customFormat="1" ht="33.75" customHeight="1">
      <c r="A5" s="135" t="s">
        <v>197</v>
      </c>
      <c r="B5" s="465" t="s">
        <v>970</v>
      </c>
      <c r="C5" s="633">
        <v>0</v>
      </c>
      <c r="D5" s="633">
        <v>0</v>
      </c>
      <c r="E5" s="633">
        <v>0</v>
      </c>
      <c r="F5" s="632">
        <v>0</v>
      </c>
    </row>
    <row r="6" spans="1:8" s="140" customFormat="1" ht="28.9" customHeight="1">
      <c r="A6" s="135" t="s">
        <v>198</v>
      </c>
      <c r="B6" s="431" t="s">
        <v>209</v>
      </c>
      <c r="C6" s="633">
        <f>C7</f>
        <v>0</v>
      </c>
      <c r="D6" s="633">
        <f>D7</f>
        <v>0</v>
      </c>
      <c r="E6" s="633">
        <f t="shared" ref="E6:F6" si="0">E7</f>
        <v>0</v>
      </c>
      <c r="F6" s="632">
        <f t="shared" si="0"/>
        <v>0</v>
      </c>
    </row>
    <row r="7" spans="1:8" s="141" customFormat="1" ht="27" customHeight="1">
      <c r="A7" s="135" t="s">
        <v>234</v>
      </c>
      <c r="B7" s="431" t="s">
        <v>272</v>
      </c>
      <c r="C7" s="634">
        <f>C8+C9</f>
        <v>0</v>
      </c>
      <c r="D7" s="634">
        <f t="shared" ref="D7:F7" si="1">D8+D9</f>
        <v>0</v>
      </c>
      <c r="E7" s="634">
        <f t="shared" si="1"/>
        <v>0</v>
      </c>
      <c r="F7" s="635">
        <f t="shared" si="1"/>
        <v>0</v>
      </c>
    </row>
    <row r="8" spans="1:8" s="142" customFormat="1" ht="27" customHeight="1">
      <c r="A8" s="137"/>
      <c r="B8" s="636" t="s">
        <v>68</v>
      </c>
      <c r="C8" s="634"/>
      <c r="D8" s="634"/>
      <c r="E8" s="638">
        <v>0</v>
      </c>
      <c r="F8" s="639">
        <v>0</v>
      </c>
    </row>
    <row r="9" spans="1:8" s="142" customFormat="1" ht="27" customHeight="1">
      <c r="A9" s="137"/>
      <c r="B9" s="636" t="s">
        <v>69</v>
      </c>
      <c r="C9" s="637">
        <v>0</v>
      </c>
      <c r="D9" s="637">
        <v>0</v>
      </c>
      <c r="E9" s="638">
        <v>0</v>
      </c>
      <c r="F9" s="639">
        <v>0</v>
      </c>
      <c r="G9" s="142" t="s">
        <v>695</v>
      </c>
    </row>
    <row r="10" spans="1:8" s="140" customFormat="1" ht="28.9" customHeight="1">
      <c r="A10" s="135" t="s">
        <v>199</v>
      </c>
      <c r="B10" s="85" t="s">
        <v>67</v>
      </c>
      <c r="C10" s="640">
        <f>C11+C13+C14+C15+C18+C17</f>
        <v>24961</v>
      </c>
      <c r="D10" s="640">
        <f t="shared" ref="D10:F10" si="2">D11+D13+D14+D15+D18</f>
        <v>0</v>
      </c>
      <c r="E10" s="640">
        <f t="shared" si="2"/>
        <v>24961</v>
      </c>
      <c r="F10" s="641">
        <f t="shared" si="2"/>
        <v>0</v>
      </c>
    </row>
    <row r="11" spans="1:8" s="140" customFormat="1" ht="27" customHeight="1">
      <c r="A11" s="135" t="s">
        <v>217</v>
      </c>
      <c r="B11" s="431" t="s">
        <v>218</v>
      </c>
      <c r="C11" s="640">
        <f>C12</f>
        <v>6755</v>
      </c>
      <c r="D11" s="640">
        <f t="shared" ref="D11:F11" si="3">D12</f>
        <v>0</v>
      </c>
      <c r="E11" s="640">
        <f t="shared" si="3"/>
        <v>6755</v>
      </c>
      <c r="F11" s="641">
        <f t="shared" si="3"/>
        <v>0</v>
      </c>
    </row>
    <row r="12" spans="1:8" s="140" customFormat="1" ht="51.75" customHeight="1">
      <c r="A12" s="135"/>
      <c r="B12" s="566" t="s">
        <v>286</v>
      </c>
      <c r="C12" s="642">
        <v>6755</v>
      </c>
      <c r="D12" s="515"/>
      <c r="E12" s="460">
        <f>C12</f>
        <v>6755</v>
      </c>
      <c r="F12" s="643">
        <v>0</v>
      </c>
      <c r="G12" s="910" t="s">
        <v>738</v>
      </c>
      <c r="H12" s="140" t="s">
        <v>696</v>
      </c>
    </row>
    <row r="13" spans="1:8" s="140" customFormat="1" ht="49.5" customHeight="1">
      <c r="A13" s="135" t="s">
        <v>220</v>
      </c>
      <c r="B13" s="465" t="s">
        <v>219</v>
      </c>
      <c r="C13" s="644">
        <v>12410</v>
      </c>
      <c r="D13" s="515"/>
      <c r="E13" s="644">
        <v>12410</v>
      </c>
      <c r="F13" s="643">
        <v>0</v>
      </c>
      <c r="G13" s="910" t="s">
        <v>739</v>
      </c>
      <c r="H13" s="140" t="s">
        <v>697</v>
      </c>
    </row>
    <row r="14" spans="1:8" s="140" customFormat="1" ht="47.25">
      <c r="A14" s="135" t="s">
        <v>224</v>
      </c>
      <c r="B14" s="431" t="s">
        <v>223</v>
      </c>
      <c r="C14" s="644">
        <v>5176</v>
      </c>
      <c r="D14" s="515"/>
      <c r="E14" s="644">
        <f>C14</f>
        <v>5176</v>
      </c>
      <c r="F14" s="643">
        <v>0</v>
      </c>
      <c r="G14" s="910" t="s">
        <v>698</v>
      </c>
      <c r="H14" s="140" t="s">
        <v>740</v>
      </c>
    </row>
    <row r="15" spans="1:8" s="140" customFormat="1" ht="27" customHeight="1">
      <c r="A15" s="135" t="s">
        <v>225</v>
      </c>
      <c r="B15" s="483" t="s">
        <v>226</v>
      </c>
      <c r="C15" s="644">
        <f>C16</f>
        <v>420</v>
      </c>
      <c r="D15" s="644">
        <f t="shared" ref="D15:F15" si="4">D16</f>
        <v>0</v>
      </c>
      <c r="E15" s="644">
        <f t="shared" si="4"/>
        <v>420</v>
      </c>
      <c r="F15" s="463">
        <f t="shared" si="4"/>
        <v>0</v>
      </c>
    </row>
    <row r="16" spans="1:8" s="140" customFormat="1" ht="27" customHeight="1">
      <c r="A16" s="135"/>
      <c r="B16" s="645" t="s">
        <v>135</v>
      </c>
      <c r="C16" s="642">
        <v>420</v>
      </c>
      <c r="D16" s="515"/>
      <c r="E16" s="642">
        <v>420</v>
      </c>
      <c r="F16" s="643">
        <v>0</v>
      </c>
      <c r="G16" s="140" t="s">
        <v>699</v>
      </c>
    </row>
    <row r="17" spans="1:7" s="140" customFormat="1" ht="15.75">
      <c r="A17" s="135" t="s">
        <v>227</v>
      </c>
      <c r="B17" s="695" t="s">
        <v>228</v>
      </c>
      <c r="C17" s="642"/>
      <c r="D17" s="515"/>
      <c r="E17" s="642"/>
      <c r="F17" s="643"/>
    </row>
    <row r="18" spans="1:7" s="140" customFormat="1" ht="15.75">
      <c r="A18" s="135" t="s">
        <v>348</v>
      </c>
      <c r="B18" s="483" t="s">
        <v>349</v>
      </c>
      <c r="C18" s="646">
        <v>200</v>
      </c>
      <c r="D18" s="515"/>
      <c r="E18" s="646">
        <v>200</v>
      </c>
      <c r="F18" s="643">
        <v>0</v>
      </c>
      <c r="G18" s="910"/>
    </row>
    <row r="19" spans="1:7" s="140" customFormat="1" ht="28.9" customHeight="1">
      <c r="A19" s="135" t="s">
        <v>200</v>
      </c>
      <c r="B19" s="431" t="s">
        <v>210</v>
      </c>
      <c r="C19" s="515">
        <v>0</v>
      </c>
      <c r="D19" s="515">
        <v>0</v>
      </c>
      <c r="E19" s="515">
        <v>0</v>
      </c>
      <c r="F19" s="643">
        <v>0</v>
      </c>
    </row>
    <row r="20" spans="1:7" s="140" customFormat="1" ht="15.75">
      <c r="A20" s="135" t="s">
        <v>201</v>
      </c>
      <c r="B20" s="465" t="s">
        <v>212</v>
      </c>
      <c r="C20" s="646">
        <v>20</v>
      </c>
      <c r="D20" s="646"/>
      <c r="E20" s="646">
        <v>20</v>
      </c>
      <c r="F20" s="643">
        <v>0</v>
      </c>
      <c r="G20" s="910" t="s">
        <v>700</v>
      </c>
    </row>
    <row r="21" spans="1:7" s="140" customFormat="1" ht="28.9" customHeight="1">
      <c r="A21" s="135" t="s">
        <v>202</v>
      </c>
      <c r="B21" s="465" t="s">
        <v>213</v>
      </c>
      <c r="C21" s="515">
        <v>0</v>
      </c>
      <c r="D21" s="515">
        <v>0</v>
      </c>
      <c r="E21" s="515">
        <v>0</v>
      </c>
      <c r="F21" s="643">
        <v>0</v>
      </c>
    </row>
    <row r="22" spans="1:7" s="140" customFormat="1" ht="28.9" customHeight="1">
      <c r="A22" s="135" t="s">
        <v>203</v>
      </c>
      <c r="B22" s="431" t="s">
        <v>75</v>
      </c>
      <c r="C22" s="640">
        <f>C23+C25</f>
        <v>464415</v>
      </c>
      <c r="D22" s="640">
        <f t="shared" ref="D22:E22" si="5">D23+D25</f>
        <v>464415</v>
      </c>
      <c r="E22" s="640">
        <f t="shared" si="5"/>
        <v>0</v>
      </c>
      <c r="F22" s="641">
        <f t="shared" ref="F22" si="6">F23+F25</f>
        <v>0</v>
      </c>
    </row>
    <row r="23" spans="1:7" s="140" customFormat="1" ht="27" customHeight="1">
      <c r="A23" s="135" t="s">
        <v>268</v>
      </c>
      <c r="B23" s="431" t="s">
        <v>269</v>
      </c>
      <c r="C23" s="646">
        <f>C24</f>
        <v>0</v>
      </c>
      <c r="D23" s="646">
        <f t="shared" ref="D23:F23" si="7">D24</f>
        <v>0</v>
      </c>
      <c r="E23" s="515">
        <f t="shared" si="7"/>
        <v>0</v>
      </c>
      <c r="F23" s="643">
        <f t="shared" si="7"/>
        <v>0</v>
      </c>
    </row>
    <row r="24" spans="1:7" s="140" customFormat="1" ht="27" customHeight="1">
      <c r="A24" s="138"/>
      <c r="B24" s="647" t="s">
        <v>350</v>
      </c>
      <c r="C24" s="515"/>
      <c r="D24" s="515"/>
      <c r="E24" s="515">
        <v>0</v>
      </c>
      <c r="F24" s="643">
        <v>0</v>
      </c>
    </row>
    <row r="25" spans="1:7" s="140" customFormat="1" ht="48" thickBot="1">
      <c r="A25" s="648" t="s">
        <v>270</v>
      </c>
      <c r="B25" s="153" t="s">
        <v>271</v>
      </c>
      <c r="C25" s="649">
        <f>464105+310</f>
        <v>464415</v>
      </c>
      <c r="D25" s="649">
        <f>C25</f>
        <v>464415</v>
      </c>
      <c r="E25" s="515">
        <v>0</v>
      </c>
      <c r="F25" s="643">
        <v>0</v>
      </c>
      <c r="G25" s="910" t="s">
        <v>777</v>
      </c>
    </row>
    <row r="26" spans="1:7" s="143" customFormat="1" ht="31.15" customHeight="1" thickBot="1">
      <c r="A26" s="1238" t="s">
        <v>0</v>
      </c>
      <c r="B26" s="1239"/>
      <c r="C26" s="514">
        <f>C4+C5+C6+C10+C19+C20+C21+C22</f>
        <v>489396</v>
      </c>
      <c r="D26" s="514">
        <f>D4+D5+D6+D10+D19+D20+D21+D22</f>
        <v>464415</v>
      </c>
      <c r="E26" s="514">
        <f>E4+E5+E6+E10+E19+E20+E21+E22</f>
        <v>24981</v>
      </c>
      <c r="F26" s="650">
        <f>F4+F5+F6+F10+F19+F20+F21+F22</f>
        <v>0</v>
      </c>
    </row>
    <row r="28" spans="1:7">
      <c r="C28" s="144" t="s">
        <v>55</v>
      </c>
      <c r="D28" s="313" t="s">
        <v>55</v>
      </c>
    </row>
    <row r="29" spans="1:7">
      <c r="C29" s="146"/>
      <c r="D29" s="508"/>
    </row>
    <row r="30" spans="1:7">
      <c r="C30" s="371"/>
    </row>
  </sheetData>
  <protectedRanges>
    <protectedRange sqref="E12" name="Tartomány21_1"/>
    <protectedRange sqref="E25:F25" name="Tartomány11_1"/>
  </protectedRanges>
  <mergeCells count="3">
    <mergeCell ref="A26:B26"/>
    <mergeCell ref="A1:F1"/>
    <mergeCell ref="E2:F2"/>
  </mergeCells>
  <phoneticPr fontId="15" type="noConversion"/>
  <printOptions horizontalCentered="1"/>
  <pageMargins left="0.70866141732283472" right="0.70866141732283472" top="0.98425196850393704" bottom="0.78740157480314965" header="0.51181102362204722" footer="0.31496062992125984"/>
  <pageSetup paperSize="9" scale="60" orientation="portrait" r:id="rId1"/>
  <headerFooter alignWithMargins="0">
    <oddHeader>&amp;L&amp;"Arial,Dőlt" 5. számú &amp;Umelléklet a 2/2020. (II.14.) önkormányzati rendelethez</oddHeader>
    <oddFooter xml:space="preserve">&amp;C&amp;9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Q171"/>
  <sheetViews>
    <sheetView view="pageLayout" topLeftCell="A108" zoomScaleNormal="100" zoomScaleSheetLayoutView="100" workbookViewId="0">
      <selection activeCell="B122" sqref="B122"/>
    </sheetView>
  </sheetViews>
  <sheetFormatPr defaultColWidth="9.140625" defaultRowHeight="12.75"/>
  <cols>
    <col min="1" max="1" width="6.42578125" style="5" bestFit="1" customWidth="1"/>
    <col min="2" max="2" width="53.140625" style="5" bestFit="1" customWidth="1"/>
    <col min="3" max="3" width="16.28515625" style="4" customWidth="1"/>
    <col min="4" max="4" width="16" style="4" bestFit="1" customWidth="1"/>
    <col min="5" max="5" width="14" style="5" customWidth="1"/>
    <col min="6" max="6" width="12.7109375" style="7" customWidth="1"/>
    <col min="7" max="8" width="0" style="24" hidden="1" customWidth="1"/>
    <col min="9" max="9" width="9.140625" style="24"/>
    <col min="10" max="10" width="14.28515625" style="4" bestFit="1" customWidth="1"/>
    <col min="11" max="16384" width="9.140625" style="4"/>
  </cols>
  <sheetData>
    <row r="1" spans="1:17" ht="24.75" customHeight="1">
      <c r="A1" s="1236" t="s">
        <v>277</v>
      </c>
      <c r="B1" s="1236"/>
      <c r="C1" s="1236"/>
      <c r="D1" s="1236"/>
      <c r="E1" s="1236"/>
      <c r="F1" s="1236"/>
    </row>
    <row r="2" spans="1:17" ht="14.25" customHeight="1" thickBot="1">
      <c r="A2" s="1053"/>
      <c r="B2" s="1053"/>
      <c r="C2" s="1053"/>
      <c r="D2" s="1053"/>
      <c r="E2" s="1241" t="s">
        <v>692</v>
      </c>
      <c r="F2" s="1241"/>
    </row>
    <row r="3" spans="1:17" s="164" customFormat="1" ht="28.5" customHeight="1" thickBot="1">
      <c r="A3" s="1119" t="s">
        <v>82</v>
      </c>
      <c r="B3" s="1120" t="s">
        <v>77</v>
      </c>
      <c r="C3" s="1121" t="s">
        <v>148</v>
      </c>
      <c r="D3" s="1122" t="s">
        <v>165</v>
      </c>
      <c r="E3" s="1122" t="s">
        <v>166</v>
      </c>
      <c r="F3" s="1123" t="s">
        <v>161</v>
      </c>
      <c r="G3" s="161" t="s">
        <v>80</v>
      </c>
      <c r="H3" s="162" t="s">
        <v>80</v>
      </c>
      <c r="I3" s="163"/>
    </row>
    <row r="4" spans="1:17" s="169" customFormat="1" ht="31.15" customHeight="1" thickBot="1">
      <c r="A4" s="165" t="s">
        <v>124</v>
      </c>
      <c r="B4" s="166" t="s">
        <v>294</v>
      </c>
      <c r="C4" s="1025"/>
      <c r="D4" s="1249"/>
      <c r="E4" s="1250"/>
      <c r="F4" s="1251"/>
      <c r="G4" s="393"/>
      <c r="H4" s="167"/>
      <c r="I4" s="168"/>
      <c r="Q4" s="170"/>
    </row>
    <row r="5" spans="1:17" s="8" customFormat="1" ht="16.899999999999999" customHeight="1">
      <c r="A5" s="1257"/>
      <c r="B5" s="171" t="s">
        <v>6</v>
      </c>
      <c r="C5" s="343">
        <f>C18+C31+C44</f>
        <v>75513</v>
      </c>
      <c r="D5" s="343">
        <f>C5</f>
        <v>75513</v>
      </c>
      <c r="E5" s="343">
        <v>0</v>
      </c>
      <c r="F5" s="344">
        <v>0</v>
      </c>
      <c r="G5" s="394"/>
      <c r="H5" s="172"/>
      <c r="I5" s="173"/>
      <c r="Q5" s="174"/>
    </row>
    <row r="6" spans="1:17" s="8" customFormat="1" ht="16.899999999999999" customHeight="1">
      <c r="A6" s="1258"/>
      <c r="B6" s="1030" t="s">
        <v>162</v>
      </c>
      <c r="C6" s="343">
        <f t="shared" ref="C6:C9" si="0">C19+C32+C45</f>
        <v>14183</v>
      </c>
      <c r="D6" s="343">
        <f t="shared" ref="D6:D9" si="1">C6</f>
        <v>14183</v>
      </c>
      <c r="E6" s="1031">
        <v>0</v>
      </c>
      <c r="F6" s="345">
        <v>0</v>
      </c>
      <c r="G6" s="394"/>
      <c r="H6" s="172"/>
      <c r="I6" s="173"/>
      <c r="Q6" s="174"/>
    </row>
    <row r="7" spans="1:17" s="8" customFormat="1" ht="16.899999999999999" customHeight="1">
      <c r="A7" s="1258"/>
      <c r="B7" s="1030" t="s">
        <v>78</v>
      </c>
      <c r="C7" s="343">
        <f t="shared" si="0"/>
        <v>115728</v>
      </c>
      <c r="D7" s="343">
        <f t="shared" si="1"/>
        <v>115728</v>
      </c>
      <c r="E7" s="1031">
        <v>0</v>
      </c>
      <c r="F7" s="345">
        <v>0</v>
      </c>
      <c r="G7" s="394"/>
      <c r="H7" s="172"/>
      <c r="I7" s="173"/>
      <c r="Q7" s="174"/>
    </row>
    <row r="8" spans="1:17" s="8" customFormat="1" ht="16.899999999999999" customHeight="1">
      <c r="A8" s="1258"/>
      <c r="B8" s="1030" t="s">
        <v>7</v>
      </c>
      <c r="C8" s="343">
        <f t="shared" si="0"/>
        <v>0</v>
      </c>
      <c r="D8" s="343">
        <f t="shared" si="1"/>
        <v>0</v>
      </c>
      <c r="E8" s="1031">
        <v>0</v>
      </c>
      <c r="F8" s="345">
        <v>0</v>
      </c>
      <c r="G8" s="394"/>
      <c r="H8" s="172"/>
      <c r="I8" s="173"/>
      <c r="Q8" s="174"/>
    </row>
    <row r="9" spans="1:17" s="8" customFormat="1" ht="16.899999999999999" customHeight="1">
      <c r="A9" s="1258"/>
      <c r="B9" s="1030" t="s">
        <v>189</v>
      </c>
      <c r="C9" s="343">
        <f t="shared" si="0"/>
        <v>0</v>
      </c>
      <c r="D9" s="343">
        <f t="shared" si="1"/>
        <v>0</v>
      </c>
      <c r="E9" s="1031">
        <v>0</v>
      </c>
      <c r="F9" s="345">
        <v>0</v>
      </c>
      <c r="G9" s="394"/>
      <c r="H9" s="172"/>
      <c r="I9" s="173"/>
      <c r="Q9" s="174"/>
    </row>
    <row r="10" spans="1:17" s="177" customFormat="1" ht="18.95" customHeight="1">
      <c r="A10" s="1258"/>
      <c r="B10" s="1032" t="s">
        <v>190</v>
      </c>
      <c r="C10" s="1033">
        <f>SUM(C5:C9)</f>
        <v>205424</v>
      </c>
      <c r="D10" s="1033">
        <f>SUM(D5:D9)</f>
        <v>205424</v>
      </c>
      <c r="E10" s="1033">
        <f>SUM(E5:E8)</f>
        <v>0</v>
      </c>
      <c r="F10" s="346">
        <f>SUM(F5:F8)</f>
        <v>0</v>
      </c>
      <c r="G10" s="396"/>
      <c r="H10" s="175"/>
      <c r="I10" s="176"/>
      <c r="Q10" s="174"/>
    </row>
    <row r="11" spans="1:17" s="8" customFormat="1" ht="16.899999999999999" customHeight="1">
      <c r="A11" s="1258"/>
      <c r="B11" s="1030" t="s">
        <v>191</v>
      </c>
      <c r="C11" s="1031">
        <f>C24+C37+C50</f>
        <v>0</v>
      </c>
      <c r="D11" s="1031">
        <f>C11</f>
        <v>0</v>
      </c>
      <c r="E11" s="1031">
        <v>0</v>
      </c>
      <c r="F11" s="345">
        <v>0</v>
      </c>
      <c r="G11" s="394"/>
      <c r="H11" s="172"/>
      <c r="I11" s="173">
        <f>'9'!C6</f>
        <v>0</v>
      </c>
      <c r="Q11" s="174"/>
    </row>
    <row r="12" spans="1:17" s="8" customFormat="1" ht="16.899999999999999" customHeight="1">
      <c r="A12" s="1258"/>
      <c r="B12" s="1030" t="s">
        <v>16</v>
      </c>
      <c r="C12" s="1031">
        <f t="shared" ref="C12:C13" si="2">C25+C38+C51</f>
        <v>0</v>
      </c>
      <c r="D12" s="1031">
        <f t="shared" ref="D12:D13" si="3">C12</f>
        <v>0</v>
      </c>
      <c r="E12" s="1031">
        <v>0</v>
      </c>
      <c r="F12" s="345">
        <v>0</v>
      </c>
      <c r="G12" s="394"/>
      <c r="H12" s="172"/>
      <c r="I12" s="173">
        <f>'9'!C35</f>
        <v>0</v>
      </c>
      <c r="Q12" s="174"/>
    </row>
    <row r="13" spans="1:17" s="8" customFormat="1" ht="16.899999999999999" customHeight="1">
      <c r="A13" s="1258"/>
      <c r="B13" s="1030" t="s">
        <v>192</v>
      </c>
      <c r="C13" s="1031">
        <f t="shared" si="2"/>
        <v>0</v>
      </c>
      <c r="D13" s="1031">
        <f t="shared" si="3"/>
        <v>0</v>
      </c>
      <c r="E13" s="1031">
        <v>0</v>
      </c>
      <c r="F13" s="345">
        <v>0</v>
      </c>
      <c r="G13" s="394"/>
      <c r="H13" s="172"/>
      <c r="I13" s="173"/>
      <c r="Q13" s="174"/>
    </row>
    <row r="14" spans="1:17" s="177" customFormat="1" ht="18.95" customHeight="1">
      <c r="A14" s="1258"/>
      <c r="B14" s="1032" t="s">
        <v>193</v>
      </c>
      <c r="C14" s="1033">
        <f>SUM(C11:C13)</f>
        <v>0</v>
      </c>
      <c r="D14" s="1033">
        <f>SUM(D11:D13)</f>
        <v>0</v>
      </c>
      <c r="E14" s="1033">
        <f>SUM(E11:E13)</f>
        <v>0</v>
      </c>
      <c r="F14" s="346">
        <f>SUM(F11:F13)</f>
        <v>0</v>
      </c>
      <c r="G14" s="396"/>
      <c r="H14" s="175"/>
      <c r="I14" s="176"/>
      <c r="Q14" s="174"/>
    </row>
    <row r="15" spans="1:17" s="8" customFormat="1" ht="16.899999999999999" customHeight="1" thickBot="1">
      <c r="A15" s="1258"/>
      <c r="B15" s="1034" t="s">
        <v>83</v>
      </c>
      <c r="C15" s="1035">
        <f>C28+C41+C54</f>
        <v>0</v>
      </c>
      <c r="D15" s="1035">
        <v>0</v>
      </c>
      <c r="E15" s="1036">
        <v>0</v>
      </c>
      <c r="F15" s="1037">
        <v>0</v>
      </c>
      <c r="G15" s="394"/>
      <c r="H15" s="172"/>
      <c r="I15" s="173"/>
      <c r="Q15" s="178"/>
    </row>
    <row r="16" spans="1:17" s="177" customFormat="1" ht="18.95" customHeight="1" thickBot="1">
      <c r="A16" s="1258"/>
      <c r="B16" s="179" t="s">
        <v>79</v>
      </c>
      <c r="C16" s="347">
        <f>C10+C14+C15</f>
        <v>205424</v>
      </c>
      <c r="D16" s="347">
        <f>D10+D14+D15</f>
        <v>205424</v>
      </c>
      <c r="E16" s="347">
        <f>E10+E14+E15</f>
        <v>0</v>
      </c>
      <c r="F16" s="348">
        <f>F10+F14+F15</f>
        <v>0</v>
      </c>
      <c r="G16" s="396"/>
      <c r="H16" s="175"/>
      <c r="I16" s="176"/>
      <c r="Q16" s="174"/>
    </row>
    <row r="17" spans="1:17" s="302" customFormat="1" ht="18.95" customHeight="1" thickBot="1">
      <c r="A17" s="1258"/>
      <c r="B17" s="1245" t="s">
        <v>359</v>
      </c>
      <c r="C17" s="1243"/>
      <c r="D17" s="1243"/>
      <c r="E17" s="1243"/>
      <c r="F17" s="1244"/>
      <c r="G17" s="397"/>
      <c r="H17" s="300"/>
      <c r="I17" s="301"/>
      <c r="Q17" s="303"/>
    </row>
    <row r="18" spans="1:17" s="307" customFormat="1" ht="16.899999999999999" customHeight="1">
      <c r="A18" s="1258"/>
      <c r="B18" s="304" t="s">
        <v>6</v>
      </c>
      <c r="C18" s="349">
        <v>39881</v>
      </c>
      <c r="D18" s="349">
        <f>C18</f>
        <v>39881</v>
      </c>
      <c r="E18" s="349">
        <v>0</v>
      </c>
      <c r="F18" s="350">
        <v>0</v>
      </c>
      <c r="G18" s="398"/>
      <c r="H18" s="305"/>
      <c r="I18" s="306"/>
      <c r="Q18" s="303"/>
    </row>
    <row r="19" spans="1:17" s="307" customFormat="1" ht="16.899999999999999" customHeight="1">
      <c r="A19" s="1258"/>
      <c r="B19" s="1038" t="s">
        <v>162</v>
      </c>
      <c r="C19" s="1039">
        <v>7785</v>
      </c>
      <c r="D19" s="349">
        <f>C19</f>
        <v>7785</v>
      </c>
      <c r="E19" s="1039">
        <v>0</v>
      </c>
      <c r="F19" s="351">
        <v>0</v>
      </c>
      <c r="G19" s="398"/>
      <c r="H19" s="305"/>
      <c r="I19" s="306"/>
      <c r="Q19" s="303"/>
    </row>
    <row r="20" spans="1:17" s="307" customFormat="1" ht="16.899999999999999" customHeight="1">
      <c r="A20" s="1258"/>
      <c r="B20" s="1038" t="s">
        <v>78</v>
      </c>
      <c r="C20" s="1039">
        <v>87990</v>
      </c>
      <c r="D20" s="349">
        <f>C20</f>
        <v>87990</v>
      </c>
      <c r="E20" s="1039">
        <v>0</v>
      </c>
      <c r="F20" s="351">
        <v>0</v>
      </c>
      <c r="G20" s="398"/>
      <c r="H20" s="305"/>
      <c r="I20" s="306"/>
      <c r="Q20" s="303"/>
    </row>
    <row r="21" spans="1:17" s="307" customFormat="1" ht="16.899999999999999" customHeight="1">
      <c r="A21" s="1258"/>
      <c r="B21" s="1038" t="s">
        <v>7</v>
      </c>
      <c r="C21" s="1039">
        <v>0</v>
      </c>
      <c r="D21" s="349">
        <f t="shared" ref="D21" si="4">C21</f>
        <v>0</v>
      </c>
      <c r="E21" s="1039">
        <v>0</v>
      </c>
      <c r="F21" s="351">
        <v>0</v>
      </c>
      <c r="G21" s="398"/>
      <c r="H21" s="305"/>
      <c r="I21" s="306"/>
      <c r="Q21" s="303"/>
    </row>
    <row r="22" spans="1:17" s="307" customFormat="1" ht="16.899999999999999" customHeight="1">
      <c r="A22" s="1258"/>
      <c r="B22" s="1038" t="s">
        <v>189</v>
      </c>
      <c r="C22" s="1039">
        <v>0</v>
      </c>
      <c r="D22" s="349">
        <f t="shared" ref="D22" si="5">C22</f>
        <v>0</v>
      </c>
      <c r="E22" s="1039">
        <v>0</v>
      </c>
      <c r="F22" s="351">
        <v>0</v>
      </c>
      <c r="G22" s="398"/>
      <c r="H22" s="305"/>
      <c r="I22" s="306"/>
      <c r="Q22" s="303"/>
    </row>
    <row r="23" spans="1:17" s="302" customFormat="1" ht="18.95" customHeight="1">
      <c r="A23" s="1258"/>
      <c r="B23" s="1040" t="s">
        <v>190</v>
      </c>
      <c r="C23" s="1041">
        <f>SUM(C18:C22)</f>
        <v>135656</v>
      </c>
      <c r="D23" s="1041">
        <f>SUM(D18:D22)</f>
        <v>135656</v>
      </c>
      <c r="E23" s="1041">
        <f>SUM(E18:E22)</f>
        <v>0</v>
      </c>
      <c r="F23" s="352">
        <f>SUM(F18:F22)</f>
        <v>0</v>
      </c>
      <c r="G23" s="397"/>
      <c r="H23" s="300"/>
      <c r="I23" s="301"/>
      <c r="Q23" s="303"/>
    </row>
    <row r="24" spans="1:17" s="307" customFormat="1" ht="16.899999999999999" customHeight="1">
      <c r="A24" s="1258"/>
      <c r="B24" s="1038" t="s">
        <v>191</v>
      </c>
      <c r="C24" s="1039">
        <v>0</v>
      </c>
      <c r="D24" s="1039">
        <f>C24</f>
        <v>0</v>
      </c>
      <c r="E24" s="1039">
        <v>0</v>
      </c>
      <c r="F24" s="351">
        <v>0</v>
      </c>
      <c r="G24" s="398"/>
      <c r="H24" s="305"/>
      <c r="I24" s="306"/>
      <c r="Q24" s="303"/>
    </row>
    <row r="25" spans="1:17" s="307" customFormat="1" ht="16.899999999999999" customHeight="1">
      <c r="A25" s="1258"/>
      <c r="B25" s="1038" t="s">
        <v>16</v>
      </c>
      <c r="C25" s="1039">
        <v>0</v>
      </c>
      <c r="D25" s="1039"/>
      <c r="E25" s="1039">
        <v>0</v>
      </c>
      <c r="F25" s="351">
        <v>0</v>
      </c>
      <c r="G25" s="398"/>
      <c r="H25" s="305"/>
      <c r="I25" s="306"/>
      <c r="Q25" s="303"/>
    </row>
    <row r="26" spans="1:17" s="307" customFormat="1" ht="16.899999999999999" customHeight="1">
      <c r="A26" s="1258"/>
      <c r="B26" s="1038" t="s">
        <v>192</v>
      </c>
      <c r="C26" s="1039">
        <v>0</v>
      </c>
      <c r="D26" s="1039">
        <f t="shared" ref="D26" si="6">C26</f>
        <v>0</v>
      </c>
      <c r="E26" s="1039">
        <v>0</v>
      </c>
      <c r="F26" s="351">
        <v>0</v>
      </c>
      <c r="G26" s="398"/>
      <c r="H26" s="305"/>
      <c r="I26" s="306"/>
      <c r="Q26" s="303"/>
    </row>
    <row r="27" spans="1:17" s="302" customFormat="1" ht="18.95" customHeight="1">
      <c r="A27" s="1258"/>
      <c r="B27" s="1040" t="s">
        <v>193</v>
      </c>
      <c r="C27" s="1041">
        <f>SUM(C24:C26)</f>
        <v>0</v>
      </c>
      <c r="D27" s="1041">
        <f>SUM(D24:D26)</f>
        <v>0</v>
      </c>
      <c r="E27" s="1041">
        <f>SUM(E24:E26)</f>
        <v>0</v>
      </c>
      <c r="F27" s="352">
        <f>SUM(F24:F26)</f>
        <v>0</v>
      </c>
      <c r="G27" s="397"/>
      <c r="H27" s="300"/>
      <c r="I27" s="301"/>
      <c r="Q27" s="303"/>
    </row>
    <row r="28" spans="1:17" s="307" customFormat="1" ht="16.899999999999999" customHeight="1" thickBot="1">
      <c r="A28" s="1258"/>
      <c r="B28" s="1042" t="s">
        <v>83</v>
      </c>
      <c r="C28" s="1043">
        <v>0</v>
      </c>
      <c r="D28" s="1043">
        <v>0</v>
      </c>
      <c r="E28" s="1044">
        <v>0</v>
      </c>
      <c r="F28" s="1045">
        <v>0</v>
      </c>
      <c r="G28" s="398"/>
      <c r="H28" s="305"/>
      <c r="I28" s="306"/>
      <c r="Q28" s="308"/>
    </row>
    <row r="29" spans="1:17" s="302" customFormat="1" ht="18.95" customHeight="1" thickBot="1">
      <c r="A29" s="1258"/>
      <c r="B29" s="309" t="s">
        <v>79</v>
      </c>
      <c r="C29" s="353">
        <f>C23+C27+C28</f>
        <v>135656</v>
      </c>
      <c r="D29" s="353">
        <f>D23+D27+D28</f>
        <v>135656</v>
      </c>
      <c r="E29" s="353">
        <f>E23+E27+E28</f>
        <v>0</v>
      </c>
      <c r="F29" s="354">
        <f>F23+F27+F28</f>
        <v>0</v>
      </c>
      <c r="G29" s="397"/>
      <c r="H29" s="300"/>
      <c r="I29" s="301"/>
      <c r="Q29" s="303"/>
    </row>
    <row r="30" spans="1:17" s="302" customFormat="1" ht="18.95" customHeight="1" thickBot="1">
      <c r="A30" s="1258"/>
      <c r="B30" s="1245" t="s">
        <v>362</v>
      </c>
      <c r="C30" s="1243"/>
      <c r="D30" s="1243"/>
      <c r="E30" s="1243"/>
      <c r="F30" s="1244"/>
      <c r="G30" s="397"/>
      <c r="H30" s="300"/>
      <c r="I30" s="301"/>
      <c r="Q30" s="303"/>
    </row>
    <row r="31" spans="1:17" s="307" customFormat="1" ht="16.899999999999999" customHeight="1">
      <c r="A31" s="1258"/>
      <c r="B31" s="1038" t="s">
        <v>6</v>
      </c>
      <c r="C31" s="349">
        <v>23183</v>
      </c>
      <c r="D31" s="349">
        <f>C31</f>
        <v>23183</v>
      </c>
      <c r="E31" s="349">
        <v>0</v>
      </c>
      <c r="F31" s="350">
        <v>0</v>
      </c>
      <c r="G31" s="398"/>
      <c r="H31" s="305"/>
      <c r="I31" s="306"/>
      <c r="Q31" s="303"/>
    </row>
    <row r="32" spans="1:17" s="307" customFormat="1" ht="16.899999999999999" customHeight="1">
      <c r="A32" s="1258"/>
      <c r="B32" s="1038" t="s">
        <v>162</v>
      </c>
      <c r="C32" s="1039">
        <v>4166</v>
      </c>
      <c r="D32" s="349">
        <f>C32</f>
        <v>4166</v>
      </c>
      <c r="E32" s="1039">
        <v>0</v>
      </c>
      <c r="F32" s="351">
        <v>0</v>
      </c>
      <c r="G32" s="398"/>
      <c r="H32" s="305"/>
      <c r="I32" s="306"/>
      <c r="Q32" s="303"/>
    </row>
    <row r="33" spans="1:17" s="307" customFormat="1" ht="16.899999999999999" customHeight="1">
      <c r="A33" s="1258"/>
      <c r="B33" s="1038" t="s">
        <v>78</v>
      </c>
      <c r="C33" s="1039">
        <v>15000</v>
      </c>
      <c r="D33" s="349">
        <v>15000</v>
      </c>
      <c r="E33" s="1039">
        <v>0</v>
      </c>
      <c r="F33" s="351">
        <v>0</v>
      </c>
      <c r="G33" s="398"/>
      <c r="H33" s="305"/>
      <c r="I33" s="306"/>
      <c r="Q33" s="303"/>
    </row>
    <row r="34" spans="1:17" s="307" customFormat="1" ht="16.899999999999999" customHeight="1">
      <c r="A34" s="1258"/>
      <c r="B34" s="1038" t="s">
        <v>7</v>
      </c>
      <c r="C34" s="1039">
        <v>0</v>
      </c>
      <c r="D34" s="349">
        <f t="shared" ref="D34:D41" si="7">C34</f>
        <v>0</v>
      </c>
      <c r="E34" s="1039">
        <v>0</v>
      </c>
      <c r="F34" s="351">
        <v>0</v>
      </c>
      <c r="G34" s="398"/>
      <c r="H34" s="305"/>
      <c r="I34" s="306"/>
      <c r="Q34" s="303"/>
    </row>
    <row r="35" spans="1:17" s="307" customFormat="1" ht="16.899999999999999" customHeight="1">
      <c r="A35" s="1258"/>
      <c r="B35" s="1038" t="s">
        <v>189</v>
      </c>
      <c r="C35" s="1039">
        <v>0</v>
      </c>
      <c r="D35" s="349">
        <f t="shared" si="7"/>
        <v>0</v>
      </c>
      <c r="E35" s="1039">
        <v>0</v>
      </c>
      <c r="F35" s="351">
        <v>0</v>
      </c>
      <c r="G35" s="398"/>
      <c r="H35" s="305"/>
      <c r="I35" s="306"/>
      <c r="Q35" s="303"/>
    </row>
    <row r="36" spans="1:17" s="302" customFormat="1" ht="18.95" customHeight="1">
      <c r="A36" s="1258"/>
      <c r="B36" s="1040" t="s">
        <v>190</v>
      </c>
      <c r="C36" s="1041">
        <f>SUM(C31:C35)</f>
        <v>42349</v>
      </c>
      <c r="D36" s="1041">
        <f>SUM(D31:D35)</f>
        <v>42349</v>
      </c>
      <c r="E36" s="1041">
        <f>SUM(E31:E35)</f>
        <v>0</v>
      </c>
      <c r="F36" s="352">
        <f>SUM(F31:F35)</f>
        <v>0</v>
      </c>
      <c r="G36" s="397"/>
      <c r="H36" s="300"/>
      <c r="I36" s="301"/>
      <c r="Q36" s="303"/>
    </row>
    <row r="37" spans="1:17" s="307" customFormat="1" ht="16.899999999999999" customHeight="1">
      <c r="A37" s="1258"/>
      <c r="B37" s="1038" t="s">
        <v>191</v>
      </c>
      <c r="C37" s="1039">
        <v>0</v>
      </c>
      <c r="D37" s="349">
        <f t="shared" si="7"/>
        <v>0</v>
      </c>
      <c r="E37" s="1039">
        <v>0</v>
      </c>
      <c r="F37" s="351">
        <v>0</v>
      </c>
      <c r="G37" s="398"/>
      <c r="H37" s="305"/>
      <c r="I37" s="306"/>
      <c r="Q37" s="303"/>
    </row>
    <row r="38" spans="1:17" s="307" customFormat="1" ht="16.899999999999999" customHeight="1">
      <c r="A38" s="1258"/>
      <c r="B38" s="1038" t="s">
        <v>16</v>
      </c>
      <c r="C38" s="1039">
        <v>0</v>
      </c>
      <c r="D38" s="349">
        <f t="shared" si="7"/>
        <v>0</v>
      </c>
      <c r="E38" s="1039">
        <v>0</v>
      </c>
      <c r="F38" s="351">
        <v>0</v>
      </c>
      <c r="G38" s="398"/>
      <c r="H38" s="305"/>
      <c r="I38" s="306"/>
      <c r="Q38" s="303"/>
    </row>
    <row r="39" spans="1:17" s="307" customFormat="1" ht="16.899999999999999" customHeight="1">
      <c r="A39" s="1258"/>
      <c r="B39" s="1038" t="s">
        <v>192</v>
      </c>
      <c r="C39" s="1039">
        <v>0</v>
      </c>
      <c r="D39" s="349">
        <f t="shared" si="7"/>
        <v>0</v>
      </c>
      <c r="E39" s="1039">
        <v>0</v>
      </c>
      <c r="F39" s="351">
        <v>0</v>
      </c>
      <c r="G39" s="398"/>
      <c r="H39" s="305"/>
      <c r="I39" s="306"/>
      <c r="Q39" s="303"/>
    </row>
    <row r="40" spans="1:17" s="302" customFormat="1" ht="18.95" customHeight="1">
      <c r="A40" s="1258"/>
      <c r="B40" s="1040" t="s">
        <v>193</v>
      </c>
      <c r="C40" s="1041">
        <f>SUM(C37:C39)</f>
        <v>0</v>
      </c>
      <c r="D40" s="349">
        <f t="shared" si="7"/>
        <v>0</v>
      </c>
      <c r="E40" s="1041">
        <f>SUM(E37:E39)</f>
        <v>0</v>
      </c>
      <c r="F40" s="352">
        <f>SUM(F37:F39)</f>
        <v>0</v>
      </c>
      <c r="G40" s="397"/>
      <c r="H40" s="300"/>
      <c r="I40" s="301"/>
      <c r="Q40" s="303"/>
    </row>
    <row r="41" spans="1:17" s="307" customFormat="1" ht="16.899999999999999" customHeight="1" thickBot="1">
      <c r="A41" s="1258"/>
      <c r="B41" s="1042" t="s">
        <v>83</v>
      </c>
      <c r="C41" s="1043">
        <v>0</v>
      </c>
      <c r="D41" s="349">
        <f t="shared" si="7"/>
        <v>0</v>
      </c>
      <c r="E41" s="1044">
        <v>0</v>
      </c>
      <c r="F41" s="1045">
        <v>0</v>
      </c>
      <c r="G41" s="398"/>
      <c r="H41" s="305"/>
      <c r="I41" s="306"/>
      <c r="Q41" s="308"/>
    </row>
    <row r="42" spans="1:17" s="302" customFormat="1" ht="18.95" customHeight="1" thickBot="1">
      <c r="A42" s="1258"/>
      <c r="B42" s="309" t="s">
        <v>79</v>
      </c>
      <c r="C42" s="353">
        <f>C36+C40+C41</f>
        <v>42349</v>
      </c>
      <c r="D42" s="353">
        <f>D36+D40+D41</f>
        <v>42349</v>
      </c>
      <c r="E42" s="353">
        <f>E36+E40+E41</f>
        <v>0</v>
      </c>
      <c r="F42" s="354">
        <f>F36+F40+F41</f>
        <v>0</v>
      </c>
      <c r="G42" s="397"/>
      <c r="H42" s="300"/>
      <c r="I42" s="301"/>
      <c r="Q42" s="303"/>
    </row>
    <row r="43" spans="1:17" s="302" customFormat="1" ht="18.95" customHeight="1" thickBot="1">
      <c r="A43" s="1258"/>
      <c r="B43" s="1245" t="s">
        <v>363</v>
      </c>
      <c r="C43" s="1243"/>
      <c r="D43" s="1243"/>
      <c r="E43" s="1243"/>
      <c r="F43" s="1244"/>
      <c r="G43" s="397"/>
      <c r="H43" s="300"/>
      <c r="I43" s="301"/>
      <c r="Q43" s="303"/>
    </row>
    <row r="44" spans="1:17" s="307" customFormat="1" ht="16.899999999999999" customHeight="1">
      <c r="A44" s="1258"/>
      <c r="B44" s="304" t="s">
        <v>6</v>
      </c>
      <c r="C44" s="349">
        <v>12449</v>
      </c>
      <c r="D44" s="349">
        <f>C44</f>
        <v>12449</v>
      </c>
      <c r="E44" s="349">
        <v>0</v>
      </c>
      <c r="F44" s="350">
        <v>0</v>
      </c>
      <c r="G44" s="398"/>
      <c r="H44" s="305"/>
      <c r="I44" s="306"/>
      <c r="Q44" s="303"/>
    </row>
    <row r="45" spans="1:17" s="307" customFormat="1" ht="16.899999999999999" customHeight="1">
      <c r="A45" s="1258"/>
      <c r="B45" s="1038" t="s">
        <v>162</v>
      </c>
      <c r="C45" s="1039">
        <v>2232</v>
      </c>
      <c r="D45" s="349">
        <f>C45</f>
        <v>2232</v>
      </c>
      <c r="E45" s="1039">
        <v>0</v>
      </c>
      <c r="F45" s="351">
        <v>0</v>
      </c>
      <c r="G45" s="398"/>
      <c r="H45" s="305"/>
      <c r="I45" s="306"/>
      <c r="Q45" s="303"/>
    </row>
    <row r="46" spans="1:17" s="307" customFormat="1" ht="16.899999999999999" customHeight="1">
      <c r="A46" s="1258"/>
      <c r="B46" s="1038" t="s">
        <v>78</v>
      </c>
      <c r="C46" s="1039">
        <v>12738</v>
      </c>
      <c r="D46" s="349">
        <f>C46</f>
        <v>12738</v>
      </c>
      <c r="E46" s="1039">
        <v>0</v>
      </c>
      <c r="F46" s="351">
        <v>0</v>
      </c>
      <c r="G46" s="398"/>
      <c r="H46" s="305"/>
      <c r="I46" s="306"/>
      <c r="Q46" s="303"/>
    </row>
    <row r="47" spans="1:17" s="307" customFormat="1" ht="16.899999999999999" customHeight="1">
      <c r="A47" s="1258"/>
      <c r="B47" s="1038" t="s">
        <v>7</v>
      </c>
      <c r="C47" s="1039">
        <v>0</v>
      </c>
      <c r="D47" s="349">
        <f t="shared" ref="D47:D48" si="8">C47</f>
        <v>0</v>
      </c>
      <c r="E47" s="1039">
        <v>0</v>
      </c>
      <c r="F47" s="351">
        <v>0</v>
      </c>
      <c r="G47" s="398"/>
      <c r="H47" s="305"/>
      <c r="I47" s="306"/>
      <c r="Q47" s="303"/>
    </row>
    <row r="48" spans="1:17" s="307" customFormat="1" ht="16.899999999999999" customHeight="1">
      <c r="A48" s="1258"/>
      <c r="B48" s="1038" t="s">
        <v>189</v>
      </c>
      <c r="C48" s="1039">
        <v>0</v>
      </c>
      <c r="D48" s="349">
        <f t="shared" si="8"/>
        <v>0</v>
      </c>
      <c r="E48" s="1039">
        <v>0</v>
      </c>
      <c r="F48" s="351">
        <v>0</v>
      </c>
      <c r="G48" s="398"/>
      <c r="H48" s="305"/>
      <c r="I48" s="306"/>
      <c r="Q48" s="303"/>
    </row>
    <row r="49" spans="1:17" s="302" customFormat="1" ht="18.95" customHeight="1">
      <c r="A49" s="1258"/>
      <c r="B49" s="1040" t="s">
        <v>190</v>
      </c>
      <c r="C49" s="1041">
        <f>SUM(C44:C48)</f>
        <v>27419</v>
      </c>
      <c r="D49" s="1041">
        <f>SUM(D44:D48)</f>
        <v>27419</v>
      </c>
      <c r="E49" s="1041">
        <f>SUM(E44:E48)</f>
        <v>0</v>
      </c>
      <c r="F49" s="352">
        <f>SUM(F44:F48)</f>
        <v>0</v>
      </c>
      <c r="G49" s="397"/>
      <c r="H49" s="300"/>
      <c r="I49" s="301"/>
      <c r="Q49" s="303"/>
    </row>
    <row r="50" spans="1:17" s="307" customFormat="1" ht="16.899999999999999" customHeight="1">
      <c r="A50" s="1258"/>
      <c r="B50" s="1038" t="s">
        <v>191</v>
      </c>
      <c r="C50" s="1039">
        <v>0</v>
      </c>
      <c r="D50" s="1039">
        <f>C50</f>
        <v>0</v>
      </c>
      <c r="E50" s="1039">
        <v>0</v>
      </c>
      <c r="F50" s="351">
        <v>0</v>
      </c>
      <c r="G50" s="398"/>
      <c r="H50" s="305"/>
      <c r="I50" s="306"/>
      <c r="Q50" s="303"/>
    </row>
    <row r="51" spans="1:17" s="307" customFormat="1" ht="16.899999999999999" customHeight="1">
      <c r="A51" s="1258"/>
      <c r="B51" s="1038" t="s">
        <v>16</v>
      </c>
      <c r="C51" s="1039">
        <f>'9'!C38</f>
        <v>0</v>
      </c>
      <c r="D51" s="1039">
        <f t="shared" ref="D51:D52" si="9">C51</f>
        <v>0</v>
      </c>
      <c r="E51" s="1039">
        <v>0</v>
      </c>
      <c r="F51" s="351">
        <v>0</v>
      </c>
      <c r="G51" s="398"/>
      <c r="H51" s="305"/>
      <c r="I51" s="306"/>
      <c r="Q51" s="303"/>
    </row>
    <row r="52" spans="1:17" s="307" customFormat="1" ht="16.899999999999999" customHeight="1">
      <c r="A52" s="1258"/>
      <c r="B52" s="1038" t="s">
        <v>192</v>
      </c>
      <c r="C52" s="1039">
        <v>0</v>
      </c>
      <c r="D52" s="1039">
        <f t="shared" si="9"/>
        <v>0</v>
      </c>
      <c r="E52" s="1039">
        <v>0</v>
      </c>
      <c r="F52" s="351">
        <v>0</v>
      </c>
      <c r="G52" s="398"/>
      <c r="H52" s="305"/>
      <c r="I52" s="306"/>
      <c r="Q52" s="303"/>
    </row>
    <row r="53" spans="1:17" s="302" customFormat="1" ht="18.95" customHeight="1">
      <c r="A53" s="1258"/>
      <c r="B53" s="1040" t="s">
        <v>193</v>
      </c>
      <c r="C53" s="1041">
        <f>SUM(C50:C52)</f>
        <v>0</v>
      </c>
      <c r="D53" s="1041">
        <f>SUM(D50:D52)</f>
        <v>0</v>
      </c>
      <c r="E53" s="1041">
        <f>SUM(E50:E52)</f>
        <v>0</v>
      </c>
      <c r="F53" s="352">
        <f>SUM(F50:F52)</f>
        <v>0</v>
      </c>
      <c r="G53" s="397"/>
      <c r="H53" s="300"/>
      <c r="I53" s="301"/>
      <c r="Q53" s="303"/>
    </row>
    <row r="54" spans="1:17" s="307" customFormat="1" ht="16.899999999999999" customHeight="1" thickBot="1">
      <c r="A54" s="1258"/>
      <c r="B54" s="1042" t="s">
        <v>83</v>
      </c>
      <c r="C54" s="1043">
        <v>0</v>
      </c>
      <c r="D54" s="1043">
        <v>0</v>
      </c>
      <c r="E54" s="1044">
        <v>0</v>
      </c>
      <c r="F54" s="1045">
        <v>0</v>
      </c>
      <c r="G54" s="398"/>
      <c r="H54" s="305"/>
      <c r="I54" s="306"/>
      <c r="Q54" s="308"/>
    </row>
    <row r="55" spans="1:17" s="302" customFormat="1" ht="18.95" customHeight="1" thickBot="1">
      <c r="A55" s="1259"/>
      <c r="B55" s="309" t="s">
        <v>79</v>
      </c>
      <c r="C55" s="353">
        <f>C49+C53+C54</f>
        <v>27419</v>
      </c>
      <c r="D55" s="353">
        <f>D49+D53+D54</f>
        <v>27419</v>
      </c>
      <c r="E55" s="353">
        <f>E49+E53+E54</f>
        <v>0</v>
      </c>
      <c r="F55" s="354">
        <f>F49+F53+F54</f>
        <v>0</v>
      </c>
      <c r="G55" s="397"/>
      <c r="H55" s="300"/>
      <c r="I55" s="301"/>
      <c r="J55" s="301" t="s">
        <v>55</v>
      </c>
      <c r="Q55" s="303"/>
    </row>
    <row r="56" spans="1:17" s="169" customFormat="1" ht="26.1" customHeight="1" thickBot="1">
      <c r="A56" s="165" t="s">
        <v>125</v>
      </c>
      <c r="B56" s="1246" t="s">
        <v>293</v>
      </c>
      <c r="C56" s="1247"/>
      <c r="D56" s="1247"/>
      <c r="E56" s="1247"/>
      <c r="F56" s="1248"/>
      <c r="G56" s="393"/>
      <c r="H56" s="399"/>
      <c r="I56" s="168"/>
    </row>
    <row r="57" spans="1:17" s="8" customFormat="1" ht="16.899999999999999" customHeight="1">
      <c r="A57" s="1257"/>
      <c r="B57" s="171" t="s">
        <v>6</v>
      </c>
      <c r="C57" s="343">
        <f>243157+4403</f>
        <v>247560</v>
      </c>
      <c r="D57" s="343">
        <f>C57</f>
        <v>247560</v>
      </c>
      <c r="E57" s="343">
        <v>0</v>
      </c>
      <c r="F57" s="344">
        <v>0</v>
      </c>
      <c r="G57" s="394"/>
      <c r="H57" s="400"/>
      <c r="I57" s="173"/>
      <c r="J57" s="325"/>
    </row>
    <row r="58" spans="1:17" s="8" customFormat="1" ht="16.899999999999999" customHeight="1">
      <c r="A58" s="1258"/>
      <c r="B58" s="1030" t="s">
        <v>162</v>
      </c>
      <c r="C58" s="1031">
        <f>49511+770</f>
        <v>50281</v>
      </c>
      <c r="D58" s="343">
        <f>C58</f>
        <v>50281</v>
      </c>
      <c r="E58" s="1031">
        <v>0</v>
      </c>
      <c r="F58" s="345">
        <v>0</v>
      </c>
      <c r="G58" s="394"/>
      <c r="H58" s="400"/>
      <c r="I58" s="173"/>
    </row>
    <row r="59" spans="1:17" s="8" customFormat="1" ht="16.899999999999999" customHeight="1">
      <c r="A59" s="1258"/>
      <c r="B59" s="1030" t="s">
        <v>78</v>
      </c>
      <c r="C59" s="1031">
        <v>93471</v>
      </c>
      <c r="D59" s="343">
        <f>C59</f>
        <v>93471</v>
      </c>
      <c r="E59" s="1031">
        <v>0</v>
      </c>
      <c r="F59" s="345">
        <v>0</v>
      </c>
      <c r="G59" s="394"/>
      <c r="H59" s="400"/>
      <c r="I59" s="173"/>
    </row>
    <row r="60" spans="1:17" s="8" customFormat="1" ht="16.899999999999999" customHeight="1">
      <c r="A60" s="1258"/>
      <c r="B60" s="1030" t="s">
        <v>7</v>
      </c>
      <c r="C60" s="1031">
        <v>0</v>
      </c>
      <c r="D60" s="343">
        <f t="shared" ref="D60:D67" si="10">C60</f>
        <v>0</v>
      </c>
      <c r="E60" s="1031">
        <v>0</v>
      </c>
      <c r="F60" s="345">
        <v>0</v>
      </c>
      <c r="G60" s="394"/>
      <c r="H60" s="400"/>
      <c r="I60" s="173"/>
    </row>
    <row r="61" spans="1:17" s="8" customFormat="1" ht="16.899999999999999" customHeight="1">
      <c r="A61" s="1258"/>
      <c r="B61" s="1030" t="s">
        <v>189</v>
      </c>
      <c r="C61" s="1031">
        <v>0</v>
      </c>
      <c r="D61" s="343">
        <f t="shared" si="10"/>
        <v>0</v>
      </c>
      <c r="E61" s="1031">
        <v>0</v>
      </c>
      <c r="F61" s="345">
        <v>0</v>
      </c>
      <c r="G61" s="394"/>
      <c r="H61" s="400"/>
      <c r="I61" s="173"/>
    </row>
    <row r="62" spans="1:17" s="177" customFormat="1" ht="17.100000000000001" customHeight="1">
      <c r="A62" s="1258"/>
      <c r="B62" s="1032" t="s">
        <v>190</v>
      </c>
      <c r="C62" s="1033">
        <f>SUM(C57:C61)</f>
        <v>391312</v>
      </c>
      <c r="D62" s="1033">
        <f>SUM(D57:D61)</f>
        <v>391312</v>
      </c>
      <c r="E62" s="1033">
        <f t="shared" ref="E62" si="11">SUM(E57:E61)</f>
        <v>0</v>
      </c>
      <c r="F62" s="346">
        <f>SUM(F57:F61)</f>
        <v>0</v>
      </c>
      <c r="G62" s="396"/>
      <c r="H62" s="401"/>
      <c r="I62" s="176"/>
    </row>
    <row r="63" spans="1:17" s="8" customFormat="1" ht="16.899999999999999" customHeight="1">
      <c r="A63" s="1258"/>
      <c r="B63" s="1030" t="s">
        <v>191</v>
      </c>
      <c r="C63" s="1031"/>
      <c r="D63" s="343"/>
      <c r="E63" s="1031">
        <v>0</v>
      </c>
      <c r="F63" s="345">
        <v>0</v>
      </c>
      <c r="G63" s="394"/>
      <c r="H63" s="400"/>
      <c r="I63" s="173"/>
    </row>
    <row r="64" spans="1:17" s="8" customFormat="1" ht="16.899999999999999" customHeight="1">
      <c r="A64" s="1258"/>
      <c r="B64" s="1030" t="s">
        <v>16</v>
      </c>
      <c r="C64" s="1031">
        <f>'9'!C39</f>
        <v>18000</v>
      </c>
      <c r="D64" s="1031">
        <f>'9'!D39</f>
        <v>18000</v>
      </c>
      <c r="E64" s="1031">
        <v>0</v>
      </c>
      <c r="F64" s="345">
        <v>0</v>
      </c>
      <c r="G64" s="394"/>
      <c r="H64" s="400"/>
      <c r="I64" s="173"/>
    </row>
    <row r="65" spans="1:17" s="8" customFormat="1" ht="16.899999999999999" customHeight="1">
      <c r="A65" s="1258"/>
      <c r="B65" s="1030" t="s">
        <v>192</v>
      </c>
      <c r="C65" s="1031">
        <v>0</v>
      </c>
      <c r="D65" s="343">
        <f t="shared" si="10"/>
        <v>0</v>
      </c>
      <c r="E65" s="1031">
        <v>0</v>
      </c>
      <c r="F65" s="345">
        <v>0</v>
      </c>
      <c r="G65" s="394"/>
      <c r="H65" s="400"/>
      <c r="I65" s="173"/>
    </row>
    <row r="66" spans="1:17" s="8" customFormat="1" ht="16.899999999999999" customHeight="1">
      <c r="A66" s="1258"/>
      <c r="B66" s="1032" t="s">
        <v>193</v>
      </c>
      <c r="C66" s="1033">
        <f>SUM(C63:C65)</f>
        <v>18000</v>
      </c>
      <c r="D66" s="1033">
        <f>SUM(D63:D65)</f>
        <v>18000</v>
      </c>
      <c r="E66" s="1033">
        <f>SUM(E63:E65)</f>
        <v>0</v>
      </c>
      <c r="F66" s="346">
        <f>SUM(F63:F65)</f>
        <v>0</v>
      </c>
      <c r="G66" s="394"/>
      <c r="H66" s="400"/>
      <c r="I66" s="173"/>
    </row>
    <row r="67" spans="1:17" s="8" customFormat="1" ht="16.899999999999999" customHeight="1" thickBot="1">
      <c r="A67" s="1258"/>
      <c r="B67" s="1034" t="s">
        <v>83</v>
      </c>
      <c r="C67" s="1035">
        <v>0</v>
      </c>
      <c r="D67" s="343">
        <f t="shared" si="10"/>
        <v>0</v>
      </c>
      <c r="E67" s="1036">
        <v>0</v>
      </c>
      <c r="F67" s="1037">
        <v>0</v>
      </c>
      <c r="G67" s="394"/>
      <c r="H67" s="400"/>
      <c r="I67" s="173"/>
    </row>
    <row r="68" spans="1:17" s="177" customFormat="1" ht="16.899999999999999" customHeight="1" thickBot="1">
      <c r="A68" s="1259"/>
      <c r="B68" s="179" t="s">
        <v>79</v>
      </c>
      <c r="C68" s="347">
        <f>C62+C66+C67</f>
        <v>409312</v>
      </c>
      <c r="D68" s="347">
        <f>D62+D66+D67</f>
        <v>409312</v>
      </c>
      <c r="E68" s="347">
        <f t="shared" ref="E68:F68" si="12">E62+E66+E67</f>
        <v>0</v>
      </c>
      <c r="F68" s="348">
        <f t="shared" si="12"/>
        <v>0</v>
      </c>
      <c r="G68" s="396"/>
      <c r="H68" s="401"/>
      <c r="I68" s="176"/>
    </row>
    <row r="69" spans="1:17" s="169" customFormat="1" ht="26.1" customHeight="1" thickBot="1">
      <c r="A69" s="180" t="s">
        <v>136</v>
      </c>
      <c r="B69" s="1246" t="s">
        <v>386</v>
      </c>
      <c r="C69" s="1247"/>
      <c r="D69" s="1247"/>
      <c r="E69" s="1247"/>
      <c r="F69" s="1248"/>
      <c r="G69" s="393"/>
      <c r="H69" s="167"/>
      <c r="I69" s="181"/>
      <c r="Q69" s="170"/>
    </row>
    <row r="70" spans="1:17" s="184" customFormat="1" ht="16.899999999999999" customHeight="1">
      <c r="A70" s="1252"/>
      <c r="B70" s="171" t="s">
        <v>6</v>
      </c>
      <c r="C70" s="343">
        <v>280877</v>
      </c>
      <c r="D70" s="343">
        <f>C70</f>
        <v>280877</v>
      </c>
      <c r="E70" s="343">
        <v>0</v>
      </c>
      <c r="F70" s="344">
        <v>0</v>
      </c>
      <c r="G70" s="402"/>
      <c r="H70" s="182"/>
      <c r="I70" s="183"/>
      <c r="Q70" s="185"/>
    </row>
    <row r="71" spans="1:17" s="184" customFormat="1" ht="16.899999999999999" customHeight="1">
      <c r="A71" s="1253"/>
      <c r="B71" s="1030" t="s">
        <v>162</v>
      </c>
      <c r="C71" s="1031">
        <v>56300</v>
      </c>
      <c r="D71" s="343">
        <f>C71</f>
        <v>56300</v>
      </c>
      <c r="E71" s="1031">
        <v>0</v>
      </c>
      <c r="F71" s="345">
        <v>0</v>
      </c>
      <c r="G71" s="402"/>
      <c r="H71" s="182"/>
      <c r="I71" s="183"/>
      <c r="Q71" s="185"/>
    </row>
    <row r="72" spans="1:17" s="184" customFormat="1" ht="16.899999999999999" customHeight="1">
      <c r="A72" s="1253"/>
      <c r="B72" s="1030" t="s">
        <v>78</v>
      </c>
      <c r="C72" s="1031">
        <v>38371</v>
      </c>
      <c r="D72" s="343">
        <f>C72</f>
        <v>38371</v>
      </c>
      <c r="E72" s="1031">
        <v>0</v>
      </c>
      <c r="F72" s="345">
        <v>0</v>
      </c>
      <c r="G72" s="402"/>
      <c r="H72" s="182"/>
      <c r="I72" s="183"/>
      <c r="Q72" s="185"/>
    </row>
    <row r="73" spans="1:17" s="184" customFormat="1" ht="16.899999999999999" customHeight="1">
      <c r="A73" s="1253"/>
      <c r="B73" s="1030" t="s">
        <v>7</v>
      </c>
      <c r="C73" s="1031">
        <v>0</v>
      </c>
      <c r="D73" s="343">
        <f t="shared" ref="D73:D74" si="13">C73</f>
        <v>0</v>
      </c>
      <c r="E73" s="1031">
        <v>0</v>
      </c>
      <c r="F73" s="345">
        <v>0</v>
      </c>
      <c r="G73" s="402"/>
      <c r="H73" s="182"/>
      <c r="I73" s="183"/>
      <c r="Q73" s="185"/>
    </row>
    <row r="74" spans="1:17" s="184" customFormat="1" ht="16.899999999999999" customHeight="1">
      <c r="A74" s="1253"/>
      <c r="B74" s="1030" t="s">
        <v>189</v>
      </c>
      <c r="C74" s="1031">
        <v>0</v>
      </c>
      <c r="D74" s="343">
        <f t="shared" si="13"/>
        <v>0</v>
      </c>
      <c r="E74" s="1031">
        <v>0</v>
      </c>
      <c r="F74" s="345">
        <v>0</v>
      </c>
      <c r="G74" s="402"/>
      <c r="H74" s="182"/>
      <c r="I74" s="183"/>
      <c r="Q74" s="185"/>
    </row>
    <row r="75" spans="1:17" s="188" customFormat="1" ht="16.899999999999999" customHeight="1">
      <c r="A75" s="1253"/>
      <c r="B75" s="1032" t="s">
        <v>190</v>
      </c>
      <c r="C75" s="1033">
        <f>SUM(C70:C74)</f>
        <v>375548</v>
      </c>
      <c r="D75" s="1033">
        <f t="shared" ref="D75:F75" si="14">SUM(D70:D74)</f>
        <v>375548</v>
      </c>
      <c r="E75" s="1033">
        <f t="shared" si="14"/>
        <v>0</v>
      </c>
      <c r="F75" s="346">
        <f t="shared" si="14"/>
        <v>0</v>
      </c>
      <c r="G75" s="403"/>
      <c r="H75" s="186"/>
      <c r="I75" s="187"/>
      <c r="Q75" s="185"/>
    </row>
    <row r="76" spans="1:17" s="710" customFormat="1" ht="16.899999999999999" customHeight="1">
      <c r="A76" s="1253"/>
      <c r="B76" s="1030" t="s">
        <v>191</v>
      </c>
      <c r="C76" s="1031">
        <v>1970</v>
      </c>
      <c r="D76" s="1031">
        <v>1970</v>
      </c>
      <c r="E76" s="1031">
        <v>0</v>
      </c>
      <c r="F76" s="345">
        <v>0</v>
      </c>
      <c r="G76" s="707"/>
      <c r="H76" s="708"/>
      <c r="I76" s="709"/>
      <c r="Q76" s="711"/>
    </row>
    <row r="77" spans="1:17" s="184" customFormat="1" ht="16.899999999999999" customHeight="1">
      <c r="A77" s="1253"/>
      <c r="B77" s="1030" t="s">
        <v>16</v>
      </c>
      <c r="C77" s="1031">
        <v>2824</v>
      </c>
      <c r="D77" s="1031">
        <v>2824</v>
      </c>
      <c r="E77" s="1031">
        <v>0</v>
      </c>
      <c r="F77" s="345">
        <v>0</v>
      </c>
      <c r="G77" s="402"/>
      <c r="H77" s="182"/>
      <c r="I77" s="183"/>
      <c r="Q77" s="185"/>
    </row>
    <row r="78" spans="1:17" s="184" customFormat="1" ht="16.899999999999999" customHeight="1">
      <c r="A78" s="1253"/>
      <c r="B78" s="1030" t="s">
        <v>192</v>
      </c>
      <c r="C78" s="1031">
        <v>0</v>
      </c>
      <c r="D78" s="1031">
        <f t="shared" ref="D78" si="15">C78</f>
        <v>0</v>
      </c>
      <c r="E78" s="1031">
        <v>0</v>
      </c>
      <c r="F78" s="345">
        <v>0</v>
      </c>
      <c r="G78" s="402"/>
      <c r="H78" s="182"/>
      <c r="I78" s="183"/>
      <c r="Q78" s="185"/>
    </row>
    <row r="79" spans="1:17" s="184" customFormat="1" ht="16.899999999999999" customHeight="1">
      <c r="A79" s="1253"/>
      <c r="B79" s="1032" t="s">
        <v>193</v>
      </c>
      <c r="C79" s="1033">
        <f>SUM(C76:C78)</f>
        <v>4794</v>
      </c>
      <c r="D79" s="1033">
        <f>SUM(D76:D78)</f>
        <v>4794</v>
      </c>
      <c r="E79" s="1033">
        <f>SUM(E76:E78)</f>
        <v>0</v>
      </c>
      <c r="F79" s="346">
        <f>SUM(F76:F78)</f>
        <v>0</v>
      </c>
      <c r="G79" s="402"/>
      <c r="H79" s="182"/>
      <c r="I79" s="183"/>
      <c r="Q79" s="185"/>
    </row>
    <row r="80" spans="1:17" s="184" customFormat="1" ht="16.899999999999999" customHeight="1" thickBot="1">
      <c r="A80" s="1253"/>
      <c r="B80" s="1034" t="s">
        <v>83</v>
      </c>
      <c r="C80" s="1035">
        <v>0</v>
      </c>
      <c r="D80" s="1035">
        <v>0</v>
      </c>
      <c r="E80" s="1036">
        <v>0</v>
      </c>
      <c r="F80" s="1037">
        <v>0</v>
      </c>
      <c r="G80" s="402"/>
      <c r="H80" s="182"/>
      <c r="I80" s="183"/>
      <c r="Q80" s="185"/>
    </row>
    <row r="81" spans="1:17" s="188" customFormat="1" ht="16.899999999999999" customHeight="1" thickBot="1">
      <c r="A81" s="1254"/>
      <c r="B81" s="179" t="s">
        <v>79</v>
      </c>
      <c r="C81" s="347">
        <f>C75+C79+C80</f>
        <v>380342</v>
      </c>
      <c r="D81" s="347">
        <f>D75+D79+D80</f>
        <v>380342</v>
      </c>
      <c r="E81" s="347">
        <f t="shared" ref="E81:F81" si="16">E75+E79+E80</f>
        <v>0</v>
      </c>
      <c r="F81" s="348">
        <f t="shared" si="16"/>
        <v>0</v>
      </c>
      <c r="G81" s="403"/>
      <c r="H81" s="186"/>
      <c r="I81" s="187"/>
      <c r="Q81" s="185"/>
    </row>
    <row r="82" spans="1:17" s="169" customFormat="1" ht="27.95" customHeight="1" thickBot="1">
      <c r="A82" s="165" t="s">
        <v>137</v>
      </c>
      <c r="B82" s="1246" t="s">
        <v>275</v>
      </c>
      <c r="C82" s="1247"/>
      <c r="D82" s="1247"/>
      <c r="E82" s="1247"/>
      <c r="F82" s="1248"/>
      <c r="G82" s="393"/>
      <c r="H82" s="167"/>
      <c r="I82" s="168"/>
      <c r="Q82" s="170"/>
    </row>
    <row r="83" spans="1:17" s="184" customFormat="1" ht="16.899999999999999" customHeight="1">
      <c r="A83" s="1263" t="s">
        <v>55</v>
      </c>
      <c r="B83" s="171" t="s">
        <v>6</v>
      </c>
      <c r="C83" s="343">
        <f>SUM(C96+C109+C122+C135)</f>
        <v>50407</v>
      </c>
      <c r="D83" s="343">
        <f>SUM(D96+D109+D122+D135)</f>
        <v>50407</v>
      </c>
      <c r="E83" s="343">
        <f t="shared" ref="E83:F83" si="17">SUM(E96+E109+E122+E135)</f>
        <v>0</v>
      </c>
      <c r="F83" s="344">
        <f t="shared" si="17"/>
        <v>0</v>
      </c>
      <c r="G83" s="402"/>
      <c r="H83" s="182"/>
      <c r="I83" s="189"/>
      <c r="Q83" s="185"/>
    </row>
    <row r="84" spans="1:17" s="184" customFormat="1" ht="16.899999999999999" customHeight="1">
      <c r="A84" s="1264"/>
      <c r="B84" s="1030" t="s">
        <v>162</v>
      </c>
      <c r="C84" s="343">
        <f t="shared" ref="C84:F84" si="18">SUM(C97+C110+C123+C136)</f>
        <v>10345</v>
      </c>
      <c r="D84" s="343">
        <f t="shared" si="18"/>
        <v>10345</v>
      </c>
      <c r="E84" s="343">
        <f t="shared" si="18"/>
        <v>0</v>
      </c>
      <c r="F84" s="344">
        <f t="shared" si="18"/>
        <v>0</v>
      </c>
      <c r="G84" s="402"/>
      <c r="H84" s="182"/>
      <c r="I84" s="189"/>
      <c r="Q84" s="185"/>
    </row>
    <row r="85" spans="1:17" s="184" customFormat="1" ht="16.899999999999999" customHeight="1">
      <c r="A85" s="1264"/>
      <c r="B85" s="1030" t="s">
        <v>78</v>
      </c>
      <c r="C85" s="343">
        <f t="shared" ref="C85:F85" si="19">SUM(C98+C111+C124+C137)</f>
        <v>193405</v>
      </c>
      <c r="D85" s="343">
        <f t="shared" si="19"/>
        <v>193405</v>
      </c>
      <c r="E85" s="343">
        <f t="shared" si="19"/>
        <v>0</v>
      </c>
      <c r="F85" s="344">
        <f t="shared" si="19"/>
        <v>0</v>
      </c>
      <c r="G85" s="402"/>
      <c r="H85" s="182"/>
      <c r="I85" s="189"/>
      <c r="Q85" s="185"/>
    </row>
    <row r="86" spans="1:17" s="184" customFormat="1" ht="16.899999999999999" customHeight="1">
      <c r="A86" s="1264"/>
      <c r="B86" s="1030" t="s">
        <v>7</v>
      </c>
      <c r="C86" s="343">
        <f t="shared" ref="C86:F86" si="20">SUM(C99+C112+C125+C138)</f>
        <v>0</v>
      </c>
      <c r="D86" s="343">
        <f t="shared" si="20"/>
        <v>0</v>
      </c>
      <c r="E86" s="343">
        <f t="shared" si="20"/>
        <v>0</v>
      </c>
      <c r="F86" s="344">
        <f t="shared" si="20"/>
        <v>0</v>
      </c>
      <c r="G86" s="402"/>
      <c r="H86" s="182"/>
      <c r="I86" s="189"/>
      <c r="Q86" s="185"/>
    </row>
    <row r="87" spans="1:17" s="184" customFormat="1" ht="16.899999999999999" customHeight="1">
      <c r="A87" s="1264"/>
      <c r="B87" s="1030" t="s">
        <v>189</v>
      </c>
      <c r="C87" s="343">
        <f t="shared" ref="C87:F87" si="21">SUM(C100+C113+C126+C139)</f>
        <v>0</v>
      </c>
      <c r="D87" s="343">
        <f t="shared" si="21"/>
        <v>0</v>
      </c>
      <c r="E87" s="343">
        <f t="shared" si="21"/>
        <v>0</v>
      </c>
      <c r="F87" s="344">
        <f t="shared" si="21"/>
        <v>0</v>
      </c>
      <c r="G87" s="402"/>
      <c r="H87" s="182"/>
      <c r="I87" s="189"/>
      <c r="Q87" s="185"/>
    </row>
    <row r="88" spans="1:17" s="188" customFormat="1" ht="16.899999999999999" customHeight="1">
      <c r="A88" s="1264"/>
      <c r="B88" s="1032" t="s">
        <v>190</v>
      </c>
      <c r="C88" s="1048">
        <f t="shared" ref="C88:F88" si="22">SUM(C101+C114+C127+C140)</f>
        <v>254157</v>
      </c>
      <c r="D88" s="1048">
        <f t="shared" si="22"/>
        <v>254157</v>
      </c>
      <c r="E88" s="343">
        <f t="shared" si="22"/>
        <v>0</v>
      </c>
      <c r="F88" s="344">
        <f t="shared" si="22"/>
        <v>0</v>
      </c>
      <c r="G88" s="403"/>
      <c r="H88" s="186"/>
      <c r="I88" s="190"/>
      <c r="Q88" s="185"/>
    </row>
    <row r="89" spans="1:17" s="184" customFormat="1" ht="16.899999999999999" customHeight="1">
      <c r="A89" s="1264"/>
      <c r="B89" s="1030" t="s">
        <v>191</v>
      </c>
      <c r="C89" s="343">
        <f t="shared" ref="C89:F89" si="23">SUM(C102+C115+C128+C141)</f>
        <v>4458</v>
      </c>
      <c r="D89" s="343">
        <f t="shared" si="23"/>
        <v>4458</v>
      </c>
      <c r="E89" s="343">
        <f t="shared" si="23"/>
        <v>0</v>
      </c>
      <c r="F89" s="344">
        <f t="shared" si="23"/>
        <v>0</v>
      </c>
      <c r="G89" s="402"/>
      <c r="H89" s="182"/>
      <c r="I89" s="189"/>
      <c r="Q89" s="185"/>
    </row>
    <row r="90" spans="1:17" s="184" customFormat="1" ht="16.899999999999999" customHeight="1">
      <c r="A90" s="1264"/>
      <c r="B90" s="1030" t="s">
        <v>16</v>
      </c>
      <c r="C90" s="343">
        <f t="shared" ref="C90:F90" si="24">SUM(C103+C116+C129+C142)</f>
        <v>0</v>
      </c>
      <c r="D90" s="343">
        <f t="shared" si="24"/>
        <v>0</v>
      </c>
      <c r="E90" s="343">
        <f t="shared" si="24"/>
        <v>0</v>
      </c>
      <c r="F90" s="344">
        <f t="shared" si="24"/>
        <v>0</v>
      </c>
      <c r="G90" s="402"/>
      <c r="H90" s="182"/>
      <c r="I90" s="189"/>
      <c r="Q90" s="185"/>
    </row>
    <row r="91" spans="1:17" s="184" customFormat="1" ht="16.899999999999999" customHeight="1">
      <c r="A91" s="1264"/>
      <c r="B91" s="1030" t="s">
        <v>192</v>
      </c>
      <c r="C91" s="343">
        <f t="shared" ref="C91:F91" si="25">SUM(C104+C117+C130+C143)</f>
        <v>0</v>
      </c>
      <c r="D91" s="343">
        <f t="shared" si="25"/>
        <v>0</v>
      </c>
      <c r="E91" s="343">
        <f t="shared" si="25"/>
        <v>0</v>
      </c>
      <c r="F91" s="344">
        <f t="shared" si="25"/>
        <v>0</v>
      </c>
      <c r="G91" s="402"/>
      <c r="H91" s="182"/>
      <c r="I91" s="189"/>
      <c r="Q91" s="185"/>
    </row>
    <row r="92" spans="1:17" s="188" customFormat="1" ht="16.899999999999999" customHeight="1">
      <c r="A92" s="1264"/>
      <c r="B92" s="1032" t="s">
        <v>193</v>
      </c>
      <c r="C92" s="1048">
        <f>SUM(C105+C118+C131+C144)</f>
        <v>4458</v>
      </c>
      <c r="D92" s="1048">
        <f t="shared" ref="D92:F92" si="26">SUM(D105+D118+D131+D144)</f>
        <v>4458</v>
      </c>
      <c r="E92" s="343">
        <f t="shared" si="26"/>
        <v>0</v>
      </c>
      <c r="F92" s="344">
        <f t="shared" si="26"/>
        <v>0</v>
      </c>
      <c r="G92" s="403"/>
      <c r="H92" s="186"/>
      <c r="I92" s="190"/>
      <c r="Q92" s="185"/>
    </row>
    <row r="93" spans="1:17" s="184" customFormat="1" ht="16.899999999999999" customHeight="1" thickBot="1">
      <c r="A93" s="1264"/>
      <c r="B93" s="1034" t="s">
        <v>83</v>
      </c>
      <c r="C93" s="343">
        <f t="shared" ref="C93:F93" si="27">SUM(C106+C119+C132+C145)</f>
        <v>0</v>
      </c>
      <c r="D93" s="343">
        <f t="shared" si="27"/>
        <v>0</v>
      </c>
      <c r="E93" s="343">
        <f t="shared" si="27"/>
        <v>0</v>
      </c>
      <c r="F93" s="344">
        <f t="shared" si="27"/>
        <v>0</v>
      </c>
      <c r="G93" s="402"/>
      <c r="H93" s="182"/>
      <c r="I93" s="189"/>
      <c r="Q93" s="185"/>
    </row>
    <row r="94" spans="1:17" s="188" customFormat="1" ht="16.899999999999999" customHeight="1" thickBot="1">
      <c r="A94" s="1264"/>
      <c r="B94" s="179" t="s">
        <v>79</v>
      </c>
      <c r="C94" s="347">
        <f>C88+C92+C93</f>
        <v>258615</v>
      </c>
      <c r="D94" s="347">
        <f>D88+D92+D93</f>
        <v>258615</v>
      </c>
      <c r="E94" s="347">
        <f t="shared" ref="E94:F94" si="28">E88+E92+E93</f>
        <v>0</v>
      </c>
      <c r="F94" s="348">
        <f t="shared" si="28"/>
        <v>0</v>
      </c>
      <c r="G94" s="403"/>
      <c r="H94" s="186"/>
      <c r="I94" s="190"/>
      <c r="Q94" s="185"/>
    </row>
    <row r="95" spans="1:17" s="193" customFormat="1" ht="26.1" customHeight="1" thickBot="1">
      <c r="A95" s="1264"/>
      <c r="B95" s="1245" t="s">
        <v>525</v>
      </c>
      <c r="C95" s="1243"/>
      <c r="D95" s="1243"/>
      <c r="E95" s="1243"/>
      <c r="F95" s="1244"/>
      <c r="G95" s="404"/>
      <c r="H95" s="191"/>
      <c r="I95" s="192"/>
      <c r="Q95" s="194"/>
    </row>
    <row r="96" spans="1:17" s="184" customFormat="1" ht="16.899999999999999" customHeight="1">
      <c r="A96" s="1264"/>
      <c r="B96" s="171" t="s">
        <v>6</v>
      </c>
      <c r="C96" s="343">
        <v>16678</v>
      </c>
      <c r="D96" s="343">
        <f t="shared" ref="D96:D97" si="29">C96</f>
        <v>16678</v>
      </c>
      <c r="E96" s="343">
        <v>0</v>
      </c>
      <c r="F96" s="344">
        <v>0</v>
      </c>
      <c r="G96" s="402"/>
      <c r="H96" s="182"/>
      <c r="I96" s="189"/>
      <c r="Q96" s="185"/>
    </row>
    <row r="97" spans="1:17" s="184" customFormat="1" ht="16.899999999999999" customHeight="1">
      <c r="A97" s="1264"/>
      <c r="B97" s="1030" t="s">
        <v>162</v>
      </c>
      <c r="C97" s="1031">
        <v>4315</v>
      </c>
      <c r="D97" s="343">
        <f t="shared" si="29"/>
        <v>4315</v>
      </c>
      <c r="E97" s="1031">
        <v>0</v>
      </c>
      <c r="F97" s="345">
        <v>0</v>
      </c>
      <c r="G97" s="402"/>
      <c r="H97" s="182"/>
      <c r="I97" s="189"/>
      <c r="Q97" s="185"/>
    </row>
    <row r="98" spans="1:17" s="184" customFormat="1" ht="16.899999999999999" customHeight="1">
      <c r="A98" s="1264"/>
      <c r="B98" s="1030" t="s">
        <v>78</v>
      </c>
      <c r="C98" s="1031">
        <v>10950</v>
      </c>
      <c r="D98" s="343">
        <f>C98</f>
        <v>10950</v>
      </c>
      <c r="E98" s="1031">
        <v>0</v>
      </c>
      <c r="F98" s="345">
        <v>0</v>
      </c>
      <c r="G98" s="402"/>
      <c r="H98" s="182"/>
      <c r="I98" s="189"/>
      <c r="Q98" s="185"/>
    </row>
    <row r="99" spans="1:17" s="184" customFormat="1" ht="16.899999999999999" customHeight="1">
      <c r="A99" s="1264"/>
      <c r="B99" s="1030" t="s">
        <v>7</v>
      </c>
      <c r="C99" s="1031">
        <v>0</v>
      </c>
      <c r="D99" s="343">
        <f t="shared" ref="D99:D104" si="30">C99</f>
        <v>0</v>
      </c>
      <c r="E99" s="1031">
        <v>0</v>
      </c>
      <c r="F99" s="345">
        <v>0</v>
      </c>
      <c r="G99" s="402"/>
      <c r="H99" s="182"/>
      <c r="I99" s="189"/>
      <c r="Q99" s="185"/>
    </row>
    <row r="100" spans="1:17" s="184" customFormat="1" ht="16.899999999999999" customHeight="1">
      <c r="A100" s="1264"/>
      <c r="B100" s="1030" t="s">
        <v>189</v>
      </c>
      <c r="C100" s="1031">
        <v>0</v>
      </c>
      <c r="D100" s="343">
        <f t="shared" si="30"/>
        <v>0</v>
      </c>
      <c r="E100" s="1031">
        <v>0</v>
      </c>
      <c r="F100" s="345">
        <v>0</v>
      </c>
      <c r="G100" s="402"/>
      <c r="H100" s="182"/>
      <c r="I100" s="189"/>
      <c r="Q100" s="185"/>
    </row>
    <row r="101" spans="1:17" s="188" customFormat="1" ht="16.899999999999999" customHeight="1">
      <c r="A101" s="1264"/>
      <c r="B101" s="1032" t="s">
        <v>190</v>
      </c>
      <c r="C101" s="1033">
        <f>SUM(C96:C100)</f>
        <v>31943</v>
      </c>
      <c r="D101" s="1033">
        <f>SUM(D96:D100)</f>
        <v>31943</v>
      </c>
      <c r="E101" s="1033">
        <f t="shared" ref="E101:F101" si="31">SUM(E96:E100)</f>
        <v>0</v>
      </c>
      <c r="F101" s="346">
        <f t="shared" si="31"/>
        <v>0</v>
      </c>
      <c r="G101" s="403"/>
      <c r="H101" s="186"/>
      <c r="I101" s="190"/>
      <c r="Q101" s="185"/>
    </row>
    <row r="102" spans="1:17" s="184" customFormat="1" ht="16.899999999999999" customHeight="1">
      <c r="A102" s="1264"/>
      <c r="B102" s="1030" t="s">
        <v>191</v>
      </c>
      <c r="C102" s="1031">
        <f>'9'!C13</f>
        <v>0</v>
      </c>
      <c r="D102" s="343">
        <f t="shared" si="30"/>
        <v>0</v>
      </c>
      <c r="E102" s="1031">
        <v>0</v>
      </c>
      <c r="F102" s="345">
        <v>0</v>
      </c>
      <c r="G102" s="402"/>
      <c r="H102" s="182"/>
      <c r="I102" s="189"/>
      <c r="Q102" s="185"/>
    </row>
    <row r="103" spans="1:17" s="184" customFormat="1" ht="16.899999999999999" customHeight="1">
      <c r="A103" s="1264"/>
      <c r="B103" s="1030" t="s">
        <v>16</v>
      </c>
      <c r="C103" s="1031">
        <v>0</v>
      </c>
      <c r="D103" s="343">
        <f t="shared" si="30"/>
        <v>0</v>
      </c>
      <c r="E103" s="1031">
        <v>0</v>
      </c>
      <c r="F103" s="345">
        <v>0</v>
      </c>
      <c r="G103" s="402"/>
      <c r="H103" s="182"/>
      <c r="I103" s="189"/>
      <c r="Q103" s="185"/>
    </row>
    <row r="104" spans="1:17" s="184" customFormat="1" ht="16.899999999999999" customHeight="1">
      <c r="A104" s="1264"/>
      <c r="B104" s="1030" t="s">
        <v>192</v>
      </c>
      <c r="C104" s="1031">
        <v>0</v>
      </c>
      <c r="D104" s="343">
        <f t="shared" si="30"/>
        <v>0</v>
      </c>
      <c r="E104" s="1031">
        <v>0</v>
      </c>
      <c r="F104" s="345">
        <v>0</v>
      </c>
      <c r="G104" s="402"/>
      <c r="H104" s="182"/>
      <c r="I104" s="189"/>
      <c r="Q104" s="185"/>
    </row>
    <row r="105" spans="1:17" s="188" customFormat="1" ht="16.899999999999999" customHeight="1">
      <c r="A105" s="1264"/>
      <c r="B105" s="1032" t="s">
        <v>193</v>
      </c>
      <c r="C105" s="1033">
        <f>SUM(C102:C104)</f>
        <v>0</v>
      </c>
      <c r="D105" s="1033">
        <f>SUM(D102:D104)</f>
        <v>0</v>
      </c>
      <c r="E105" s="1033">
        <f>SUM(E102:E104)</f>
        <v>0</v>
      </c>
      <c r="F105" s="346">
        <f>SUM(F102:F104)</f>
        <v>0</v>
      </c>
      <c r="G105" s="403"/>
      <c r="H105" s="186"/>
      <c r="I105" s="190"/>
      <c r="Q105" s="185"/>
    </row>
    <row r="106" spans="1:17" s="184" customFormat="1" ht="16.899999999999999" customHeight="1" thickBot="1">
      <c r="A106" s="1264"/>
      <c r="B106" s="1034" t="s">
        <v>83</v>
      </c>
      <c r="C106" s="1035">
        <v>0</v>
      </c>
      <c r="D106" s="1035">
        <v>0</v>
      </c>
      <c r="E106" s="1036">
        <v>0</v>
      </c>
      <c r="F106" s="1037">
        <v>0</v>
      </c>
      <c r="G106" s="402"/>
      <c r="H106" s="182"/>
      <c r="I106" s="189"/>
      <c r="Q106" s="185"/>
    </row>
    <row r="107" spans="1:17" s="184" customFormat="1" ht="16.899999999999999" customHeight="1" thickBot="1">
      <c r="A107" s="1264"/>
      <c r="B107" s="179" t="s">
        <v>79</v>
      </c>
      <c r="C107" s="347">
        <f>C101+C105+C106</f>
        <v>31943</v>
      </c>
      <c r="D107" s="347">
        <f>D101+D105+D106</f>
        <v>31943</v>
      </c>
      <c r="E107" s="347">
        <f t="shared" ref="E107:F107" si="32">E101+E105+E106</f>
        <v>0</v>
      </c>
      <c r="F107" s="348">
        <f t="shared" si="32"/>
        <v>0</v>
      </c>
      <c r="G107" s="402"/>
      <c r="H107" s="182"/>
      <c r="I107" s="189"/>
      <c r="Q107" s="185"/>
    </row>
    <row r="108" spans="1:17" s="193" customFormat="1" ht="26.1" customHeight="1" thickBot="1">
      <c r="A108" s="1264"/>
      <c r="B108" s="1245" t="s">
        <v>528</v>
      </c>
      <c r="C108" s="1243"/>
      <c r="D108" s="1243"/>
      <c r="E108" s="1243"/>
      <c r="F108" s="1244"/>
      <c r="G108" s="404"/>
      <c r="H108" s="191"/>
      <c r="I108" s="192"/>
      <c r="Q108" s="194"/>
    </row>
    <row r="109" spans="1:17" s="184" customFormat="1" ht="16.899999999999999" customHeight="1">
      <c r="A109" s="1264"/>
      <c r="B109" s="171" t="s">
        <v>6</v>
      </c>
      <c r="C109" s="343">
        <v>15501</v>
      </c>
      <c r="D109" s="343">
        <f>C109</f>
        <v>15501</v>
      </c>
      <c r="E109" s="343">
        <v>0</v>
      </c>
      <c r="F109" s="344">
        <v>0</v>
      </c>
      <c r="G109" s="402"/>
      <c r="H109" s="182"/>
      <c r="I109" s="189"/>
      <c r="Q109" s="185"/>
    </row>
    <row r="110" spans="1:17" s="184" customFormat="1" ht="16.899999999999999" customHeight="1">
      <c r="A110" s="1264"/>
      <c r="B110" s="1030" t="s">
        <v>162</v>
      </c>
      <c r="C110" s="1031">
        <v>2780</v>
      </c>
      <c r="D110" s="343">
        <f t="shared" ref="D110:D113" si="33">C110</f>
        <v>2780</v>
      </c>
      <c r="E110" s="1031">
        <v>0</v>
      </c>
      <c r="F110" s="345">
        <v>0</v>
      </c>
      <c r="G110" s="402"/>
      <c r="H110" s="182"/>
      <c r="I110" s="189"/>
      <c r="Q110" s="185"/>
    </row>
    <row r="111" spans="1:17" s="184" customFormat="1" ht="16.899999999999999" customHeight="1">
      <c r="A111" s="1264"/>
      <c r="B111" s="1030" t="s">
        <v>78</v>
      </c>
      <c r="C111" s="1031">
        <v>7942</v>
      </c>
      <c r="D111" s="343">
        <f t="shared" si="33"/>
        <v>7942</v>
      </c>
      <c r="E111" s="1031">
        <v>0</v>
      </c>
      <c r="F111" s="345">
        <v>0</v>
      </c>
      <c r="G111" s="402"/>
      <c r="H111" s="182"/>
      <c r="I111" s="189"/>
      <c r="Q111" s="185"/>
    </row>
    <row r="112" spans="1:17" s="184" customFormat="1" ht="16.899999999999999" customHeight="1">
      <c r="A112" s="1264"/>
      <c r="B112" s="1030" t="s">
        <v>7</v>
      </c>
      <c r="C112" s="1031">
        <v>0</v>
      </c>
      <c r="D112" s="343">
        <f t="shared" si="33"/>
        <v>0</v>
      </c>
      <c r="E112" s="1031">
        <v>0</v>
      </c>
      <c r="F112" s="345">
        <v>0</v>
      </c>
      <c r="G112" s="402"/>
      <c r="H112" s="182"/>
      <c r="I112" s="189"/>
      <c r="Q112" s="185"/>
    </row>
    <row r="113" spans="1:17" s="184" customFormat="1" ht="16.899999999999999" customHeight="1">
      <c r="A113" s="1264"/>
      <c r="B113" s="1030" t="s">
        <v>189</v>
      </c>
      <c r="C113" s="1031">
        <v>0</v>
      </c>
      <c r="D113" s="343">
        <f t="shared" si="33"/>
        <v>0</v>
      </c>
      <c r="E113" s="1031">
        <v>0</v>
      </c>
      <c r="F113" s="345">
        <v>0</v>
      </c>
      <c r="G113" s="402"/>
      <c r="H113" s="182"/>
      <c r="I113" s="189"/>
      <c r="Q113" s="185"/>
    </row>
    <row r="114" spans="1:17" s="188" customFormat="1" ht="16.899999999999999" customHeight="1">
      <c r="A114" s="1264"/>
      <c r="B114" s="1032" t="s">
        <v>190</v>
      </c>
      <c r="C114" s="1033">
        <f>SUM(C109:C113)</f>
        <v>26223</v>
      </c>
      <c r="D114" s="1033">
        <f>SUM(D109:D113)</f>
        <v>26223</v>
      </c>
      <c r="E114" s="1033">
        <f t="shared" ref="E114:F114" si="34">SUM(E109:E113)</f>
        <v>0</v>
      </c>
      <c r="F114" s="346">
        <f t="shared" si="34"/>
        <v>0</v>
      </c>
      <c r="G114" s="403"/>
      <c r="H114" s="186"/>
      <c r="I114" s="190"/>
      <c r="Q114" s="185"/>
    </row>
    <row r="115" spans="1:17" s="184" customFormat="1" ht="16.899999999999999" customHeight="1">
      <c r="A115" s="1264"/>
      <c r="B115" s="1030" t="s">
        <v>191</v>
      </c>
      <c r="C115" s="1031">
        <f>'9'!C14</f>
        <v>0</v>
      </c>
      <c r="D115" s="343">
        <f t="shared" ref="D115:D119" si="35">C115</f>
        <v>0</v>
      </c>
      <c r="E115" s="1031">
        <v>0</v>
      </c>
      <c r="F115" s="345">
        <v>0</v>
      </c>
      <c r="G115" s="402"/>
      <c r="H115" s="182"/>
      <c r="I115" s="189"/>
      <c r="Q115" s="185"/>
    </row>
    <row r="116" spans="1:17" s="184" customFormat="1" ht="16.899999999999999" customHeight="1">
      <c r="A116" s="1264"/>
      <c r="B116" s="1030" t="s">
        <v>16</v>
      </c>
      <c r="C116" s="1031">
        <v>0</v>
      </c>
      <c r="D116" s="343">
        <v>0</v>
      </c>
      <c r="E116" s="1031">
        <v>0</v>
      </c>
      <c r="F116" s="345">
        <v>0</v>
      </c>
      <c r="G116" s="402"/>
      <c r="H116" s="182"/>
      <c r="I116" s="189"/>
      <c r="Q116" s="185"/>
    </row>
    <row r="117" spans="1:17" s="184" customFormat="1" ht="16.899999999999999" customHeight="1">
      <c r="A117" s="1264"/>
      <c r="B117" s="1030" t="s">
        <v>192</v>
      </c>
      <c r="C117" s="1031">
        <v>0</v>
      </c>
      <c r="D117" s="343">
        <f t="shared" si="35"/>
        <v>0</v>
      </c>
      <c r="E117" s="1031">
        <v>0</v>
      </c>
      <c r="F117" s="345">
        <v>0</v>
      </c>
      <c r="G117" s="402"/>
      <c r="H117" s="182"/>
      <c r="I117" s="189"/>
      <c r="Q117" s="185"/>
    </row>
    <row r="118" spans="1:17" s="184" customFormat="1" ht="16.899999999999999" customHeight="1">
      <c r="A118" s="1264"/>
      <c r="B118" s="1032" t="s">
        <v>193</v>
      </c>
      <c r="C118" s="1033">
        <f>SUM(C115:C117)</f>
        <v>0</v>
      </c>
      <c r="D118" s="1033">
        <f>SUM(D115:D117)</f>
        <v>0</v>
      </c>
      <c r="E118" s="1033">
        <f>SUM(E115:E117)</f>
        <v>0</v>
      </c>
      <c r="F118" s="346">
        <f>SUM(F115:F117)</f>
        <v>0</v>
      </c>
      <c r="G118" s="402"/>
      <c r="H118" s="182"/>
      <c r="I118" s="189"/>
      <c r="Q118" s="185"/>
    </row>
    <row r="119" spans="1:17" s="184" customFormat="1" ht="16.899999999999999" customHeight="1" thickBot="1">
      <c r="A119" s="1264"/>
      <c r="B119" s="1034" t="s">
        <v>83</v>
      </c>
      <c r="C119" s="1035">
        <v>0</v>
      </c>
      <c r="D119" s="343">
        <f t="shared" si="35"/>
        <v>0</v>
      </c>
      <c r="E119" s="1036">
        <v>0</v>
      </c>
      <c r="F119" s="1037">
        <v>0</v>
      </c>
      <c r="G119" s="402"/>
      <c r="H119" s="182"/>
      <c r="I119" s="189"/>
      <c r="Q119" s="185"/>
    </row>
    <row r="120" spans="1:17" s="184" customFormat="1" ht="16.899999999999999" customHeight="1" thickBot="1">
      <c r="A120" s="1264"/>
      <c r="B120" s="179" t="s">
        <v>79</v>
      </c>
      <c r="C120" s="347">
        <f>C114+C118+C119</f>
        <v>26223</v>
      </c>
      <c r="D120" s="347">
        <f>D114+D118+D119</f>
        <v>26223</v>
      </c>
      <c r="E120" s="347">
        <f>E114+E118+E119</f>
        <v>0</v>
      </c>
      <c r="F120" s="348">
        <f>F114+F118+F119</f>
        <v>0</v>
      </c>
      <c r="G120" s="402"/>
      <c r="H120" s="182"/>
      <c r="I120" s="189"/>
      <c r="Q120" s="185"/>
    </row>
    <row r="121" spans="1:17" s="193" customFormat="1" ht="24.95" customHeight="1" thickBot="1">
      <c r="A121" s="1264"/>
      <c r="B121" s="1242" t="s">
        <v>650</v>
      </c>
      <c r="C121" s="1243"/>
      <c r="D121" s="1243"/>
      <c r="E121" s="1243"/>
      <c r="F121" s="1244"/>
      <c r="G121" s="404"/>
      <c r="H121" s="191"/>
      <c r="I121" s="192"/>
      <c r="Q121" s="194"/>
    </row>
    <row r="122" spans="1:17" s="184" customFormat="1" ht="16.899999999999999" customHeight="1">
      <c r="A122" s="1264"/>
      <c r="B122" s="171" t="s">
        <v>6</v>
      </c>
      <c r="C122" s="343">
        <v>0</v>
      </c>
      <c r="D122" s="343">
        <v>0</v>
      </c>
      <c r="E122" s="343">
        <v>0</v>
      </c>
      <c r="F122" s="344">
        <v>0</v>
      </c>
      <c r="G122" s="402"/>
      <c r="H122" s="182"/>
      <c r="I122" s="189"/>
      <c r="Q122" s="185"/>
    </row>
    <row r="123" spans="1:17" s="184" customFormat="1" ht="16.899999999999999" customHeight="1">
      <c r="A123" s="1264"/>
      <c r="B123" s="1030" t="s">
        <v>162</v>
      </c>
      <c r="C123" s="1031">
        <v>0</v>
      </c>
      <c r="D123" s="343">
        <v>0</v>
      </c>
      <c r="E123" s="1031">
        <v>0</v>
      </c>
      <c r="F123" s="345">
        <v>0</v>
      </c>
      <c r="G123" s="402"/>
      <c r="H123" s="182"/>
      <c r="I123" s="189"/>
      <c r="Q123" s="185"/>
    </row>
    <row r="124" spans="1:17" s="184" customFormat="1" ht="16.899999999999999" customHeight="1">
      <c r="A124" s="1264"/>
      <c r="B124" s="1030" t="s">
        <v>78</v>
      </c>
      <c r="C124" s="1031">
        <v>158620</v>
      </c>
      <c r="D124" s="343">
        <f>C124</f>
        <v>158620</v>
      </c>
      <c r="E124" s="1031">
        <v>0</v>
      </c>
      <c r="F124" s="345">
        <v>0</v>
      </c>
      <c r="G124" s="402"/>
      <c r="H124" s="182"/>
      <c r="I124" s="189"/>
      <c r="Q124" s="185"/>
    </row>
    <row r="125" spans="1:17" s="184" customFormat="1" ht="16.899999999999999" customHeight="1">
      <c r="A125" s="1264"/>
      <c r="B125" s="1030" t="s">
        <v>7</v>
      </c>
      <c r="C125" s="1031">
        <v>0</v>
      </c>
      <c r="D125" s="343">
        <f t="shared" ref="D125:D132" si="36">C125</f>
        <v>0</v>
      </c>
      <c r="E125" s="1031">
        <v>0</v>
      </c>
      <c r="F125" s="345">
        <v>0</v>
      </c>
      <c r="G125" s="402"/>
      <c r="H125" s="182"/>
      <c r="I125" s="189"/>
      <c r="Q125" s="185"/>
    </row>
    <row r="126" spans="1:17" s="184" customFormat="1" ht="16.899999999999999" customHeight="1">
      <c r="A126" s="1264"/>
      <c r="B126" s="1030" t="s">
        <v>189</v>
      </c>
      <c r="C126" s="1031">
        <v>0</v>
      </c>
      <c r="D126" s="343">
        <f t="shared" si="36"/>
        <v>0</v>
      </c>
      <c r="E126" s="1031">
        <v>0</v>
      </c>
      <c r="F126" s="345">
        <v>0</v>
      </c>
      <c r="G126" s="402"/>
      <c r="H126" s="182"/>
      <c r="I126" s="189"/>
      <c r="Q126" s="185"/>
    </row>
    <row r="127" spans="1:17" s="188" customFormat="1" ht="16.899999999999999" customHeight="1">
      <c r="A127" s="1264"/>
      <c r="B127" s="1032" t="s">
        <v>190</v>
      </c>
      <c r="C127" s="1033">
        <f>SUM(C122:C126)</f>
        <v>158620</v>
      </c>
      <c r="D127" s="1033">
        <f>SUM(D122:D126)</f>
        <v>158620</v>
      </c>
      <c r="E127" s="1033">
        <f t="shared" ref="E127:H127" si="37">SUM(E122:E126)</f>
        <v>0</v>
      </c>
      <c r="F127" s="346">
        <f t="shared" si="37"/>
        <v>0</v>
      </c>
      <c r="G127" s="516">
        <f t="shared" si="37"/>
        <v>0</v>
      </c>
      <c r="H127" s="395">
        <f t="shared" si="37"/>
        <v>0</v>
      </c>
      <c r="I127" s="190"/>
      <c r="Q127" s="185"/>
    </row>
    <row r="128" spans="1:17" s="184" customFormat="1" ht="16.899999999999999" customHeight="1">
      <c r="A128" s="1264"/>
      <c r="B128" s="1030" t="s">
        <v>191</v>
      </c>
      <c r="C128" s="1031">
        <v>4458</v>
      </c>
      <c r="D128" s="1031">
        <v>4458</v>
      </c>
      <c r="E128" s="1031">
        <f>'9'!E15</f>
        <v>0</v>
      </c>
      <c r="F128" s="345">
        <f>'9'!F15</f>
        <v>0</v>
      </c>
      <c r="G128" s="402"/>
      <c r="H128" s="182"/>
      <c r="I128" s="189"/>
      <c r="Q128" s="185"/>
    </row>
    <row r="129" spans="1:17" s="184" customFormat="1" ht="16.899999999999999" customHeight="1">
      <c r="A129" s="1264"/>
      <c r="B129" s="1030" t="s">
        <v>16</v>
      </c>
      <c r="C129" s="1031">
        <v>0</v>
      </c>
      <c r="D129" s="343">
        <f t="shared" si="36"/>
        <v>0</v>
      </c>
      <c r="E129" s="1031">
        <v>0</v>
      </c>
      <c r="F129" s="345">
        <v>0</v>
      </c>
      <c r="G129" s="402"/>
      <c r="H129" s="182"/>
      <c r="I129" s="189"/>
      <c r="Q129" s="185"/>
    </row>
    <row r="130" spans="1:17" s="184" customFormat="1" ht="16.899999999999999" customHeight="1">
      <c r="A130" s="1264"/>
      <c r="B130" s="1030" t="s">
        <v>192</v>
      </c>
      <c r="C130" s="1031">
        <v>0</v>
      </c>
      <c r="D130" s="343">
        <f t="shared" si="36"/>
        <v>0</v>
      </c>
      <c r="E130" s="1031">
        <v>0</v>
      </c>
      <c r="F130" s="345">
        <v>0</v>
      </c>
      <c r="G130" s="402"/>
      <c r="H130" s="182"/>
      <c r="I130" s="189"/>
      <c r="Q130" s="185"/>
    </row>
    <row r="131" spans="1:17" s="184" customFormat="1" ht="16.899999999999999" customHeight="1">
      <c r="A131" s="1264"/>
      <c r="B131" s="1032" t="s">
        <v>193</v>
      </c>
      <c r="C131" s="1033">
        <f>SUM(C128:C130)</f>
        <v>4458</v>
      </c>
      <c r="D131" s="1033">
        <f>SUM(D128:D130)</f>
        <v>4458</v>
      </c>
      <c r="E131" s="1033">
        <f>SUM(E128:E130)</f>
        <v>0</v>
      </c>
      <c r="F131" s="346">
        <f>SUM(F128:F130)</f>
        <v>0</v>
      </c>
      <c r="G131" s="402"/>
      <c r="H131" s="182"/>
      <c r="I131" s="189"/>
      <c r="Q131" s="185"/>
    </row>
    <row r="132" spans="1:17" s="184" customFormat="1" ht="16.899999999999999" customHeight="1" thickBot="1">
      <c r="A132" s="1264"/>
      <c r="B132" s="1034" t="s">
        <v>83</v>
      </c>
      <c r="C132" s="1035">
        <v>0</v>
      </c>
      <c r="D132" s="343">
        <f t="shared" si="36"/>
        <v>0</v>
      </c>
      <c r="E132" s="1036">
        <v>0</v>
      </c>
      <c r="F132" s="1037">
        <v>0</v>
      </c>
      <c r="G132" s="402"/>
      <c r="H132" s="182"/>
      <c r="I132" s="189"/>
      <c r="Q132" s="185"/>
    </row>
    <row r="133" spans="1:17" s="184" customFormat="1" ht="16.899999999999999" customHeight="1" thickBot="1">
      <c r="A133" s="1264"/>
      <c r="B133" s="179" t="s">
        <v>79</v>
      </c>
      <c r="C133" s="347">
        <f>C127+C131+C132</f>
        <v>163078</v>
      </c>
      <c r="D133" s="347">
        <f t="shared" ref="D133:F133" si="38">D127+D131+D132</f>
        <v>163078</v>
      </c>
      <c r="E133" s="347">
        <f t="shared" si="38"/>
        <v>0</v>
      </c>
      <c r="F133" s="348">
        <f t="shared" si="38"/>
        <v>0</v>
      </c>
      <c r="G133" s="402"/>
      <c r="H133" s="182"/>
      <c r="I133" s="189"/>
      <c r="Q133" s="185"/>
    </row>
    <row r="134" spans="1:17" s="193" customFormat="1" ht="24.95" customHeight="1" thickBot="1">
      <c r="A134" s="1264"/>
      <c r="B134" s="197" t="s">
        <v>527</v>
      </c>
      <c r="C134" s="1260"/>
      <c r="D134" s="1261"/>
      <c r="E134" s="1261"/>
      <c r="F134" s="1262"/>
      <c r="G134" s="404"/>
      <c r="H134" s="191"/>
      <c r="I134" s="192"/>
      <c r="Q134" s="194"/>
    </row>
    <row r="135" spans="1:17" s="184" customFormat="1" ht="16.899999999999999" customHeight="1">
      <c r="A135" s="1264"/>
      <c r="B135" s="941" t="s">
        <v>6</v>
      </c>
      <c r="C135" s="942">
        <v>18228</v>
      </c>
      <c r="D135" s="942">
        <f>C135</f>
        <v>18228</v>
      </c>
      <c r="E135" s="942">
        <v>0</v>
      </c>
      <c r="F135" s="939">
        <v>0</v>
      </c>
      <c r="G135" s="402"/>
      <c r="H135" s="182"/>
      <c r="I135" s="189"/>
      <c r="Q135" s="185"/>
    </row>
    <row r="136" spans="1:17" s="184" customFormat="1" ht="16.899999999999999" customHeight="1">
      <c r="A136" s="1264"/>
      <c r="B136" s="1030" t="s">
        <v>162</v>
      </c>
      <c r="C136" s="1031">
        <v>3250</v>
      </c>
      <c r="D136" s="343">
        <f t="shared" ref="D136:D138" si="39">C136</f>
        <v>3250</v>
      </c>
      <c r="E136" s="1031">
        <v>0</v>
      </c>
      <c r="F136" s="345">
        <v>0</v>
      </c>
      <c r="G136" s="402"/>
      <c r="H136" s="182"/>
      <c r="I136" s="189"/>
      <c r="Q136" s="185"/>
    </row>
    <row r="137" spans="1:17" s="184" customFormat="1" ht="16.899999999999999" customHeight="1">
      <c r="A137" s="1264"/>
      <c r="B137" s="1030" t="s">
        <v>78</v>
      </c>
      <c r="C137" s="1031">
        <v>15893</v>
      </c>
      <c r="D137" s="343">
        <f t="shared" si="39"/>
        <v>15893</v>
      </c>
      <c r="E137" s="1031">
        <v>0</v>
      </c>
      <c r="F137" s="345">
        <v>0</v>
      </c>
      <c r="G137" s="402"/>
      <c r="H137" s="182"/>
      <c r="I137" s="189"/>
      <c r="Q137" s="185"/>
    </row>
    <row r="138" spans="1:17" s="184" customFormat="1" ht="16.899999999999999" customHeight="1">
      <c r="A138" s="1264"/>
      <c r="B138" s="1030" t="s">
        <v>7</v>
      </c>
      <c r="C138" s="1031">
        <v>0</v>
      </c>
      <c r="D138" s="343">
        <f t="shared" si="39"/>
        <v>0</v>
      </c>
      <c r="E138" s="1031">
        <v>0</v>
      </c>
      <c r="F138" s="345">
        <v>0</v>
      </c>
      <c r="G138" s="402"/>
      <c r="H138" s="182"/>
      <c r="I138" s="189"/>
      <c r="Q138" s="185"/>
    </row>
    <row r="139" spans="1:17" s="184" customFormat="1" ht="16.899999999999999" customHeight="1">
      <c r="A139" s="1264"/>
      <c r="B139" s="1030" t="s">
        <v>189</v>
      </c>
      <c r="C139" s="1031">
        <v>0</v>
      </c>
      <c r="D139" s="343">
        <f t="shared" ref="D139:D145" si="40">C139</f>
        <v>0</v>
      </c>
      <c r="E139" s="1031">
        <v>0</v>
      </c>
      <c r="F139" s="345">
        <v>0</v>
      </c>
      <c r="G139" s="402"/>
      <c r="H139" s="182"/>
      <c r="I139" s="189"/>
      <c r="Q139" s="185"/>
    </row>
    <row r="140" spans="1:17" s="188" customFormat="1" ht="16.899999999999999" customHeight="1">
      <c r="A140" s="1264"/>
      <c r="B140" s="1032" t="s">
        <v>190</v>
      </c>
      <c r="C140" s="1033">
        <f>SUM(C135:C139)</f>
        <v>37371</v>
      </c>
      <c r="D140" s="1033">
        <f>SUM(D135:D139)</f>
        <v>37371</v>
      </c>
      <c r="E140" s="1033">
        <f t="shared" ref="E140:F140" si="41">SUM(E135:E139)</f>
        <v>0</v>
      </c>
      <c r="F140" s="346">
        <f t="shared" si="41"/>
        <v>0</v>
      </c>
      <c r="G140" s="403"/>
      <c r="H140" s="186"/>
      <c r="I140" s="190"/>
      <c r="Q140" s="185"/>
    </row>
    <row r="141" spans="1:17" s="184" customFormat="1" ht="16.899999999999999" customHeight="1">
      <c r="A141" s="1264"/>
      <c r="B141" s="1030" t="s">
        <v>191</v>
      </c>
      <c r="C141" s="1031">
        <v>0</v>
      </c>
      <c r="D141" s="343">
        <f t="shared" si="40"/>
        <v>0</v>
      </c>
      <c r="E141" s="1031">
        <v>0</v>
      </c>
      <c r="F141" s="345">
        <v>0</v>
      </c>
      <c r="G141" s="402"/>
      <c r="H141" s="182"/>
      <c r="I141" s="189"/>
      <c r="Q141" s="185"/>
    </row>
    <row r="142" spans="1:17" s="184" customFormat="1" ht="16.899999999999999" customHeight="1">
      <c r="A142" s="1264"/>
      <c r="B142" s="1030" t="s">
        <v>16</v>
      </c>
      <c r="C142" s="1031">
        <v>0</v>
      </c>
      <c r="D142" s="343">
        <f t="shared" si="40"/>
        <v>0</v>
      </c>
      <c r="E142" s="1031">
        <v>0</v>
      </c>
      <c r="F142" s="345">
        <v>0</v>
      </c>
      <c r="G142" s="402"/>
      <c r="H142" s="182"/>
      <c r="I142" s="189"/>
      <c r="Q142" s="185"/>
    </row>
    <row r="143" spans="1:17" s="184" customFormat="1" ht="16.899999999999999" customHeight="1">
      <c r="A143" s="1264"/>
      <c r="B143" s="1030" t="s">
        <v>192</v>
      </c>
      <c r="C143" s="1031">
        <v>0</v>
      </c>
      <c r="D143" s="343">
        <f t="shared" si="40"/>
        <v>0</v>
      </c>
      <c r="E143" s="1031">
        <v>0</v>
      </c>
      <c r="F143" s="345">
        <v>0</v>
      </c>
      <c r="G143" s="402"/>
      <c r="H143" s="182"/>
      <c r="I143" s="189"/>
      <c r="Q143" s="185"/>
    </row>
    <row r="144" spans="1:17" s="184" customFormat="1" ht="16.899999999999999" customHeight="1">
      <c r="A144" s="1264"/>
      <c r="B144" s="1032" t="s">
        <v>193</v>
      </c>
      <c r="C144" s="1033">
        <f>SUM(C141:C143)</f>
        <v>0</v>
      </c>
      <c r="D144" s="1033">
        <f>SUM(D141:D143)</f>
        <v>0</v>
      </c>
      <c r="E144" s="1033">
        <f>SUM(E141:E143)</f>
        <v>0</v>
      </c>
      <c r="F144" s="346">
        <f>SUM(F141:F143)</f>
        <v>0</v>
      </c>
      <c r="G144" s="402"/>
      <c r="H144" s="182"/>
      <c r="I144" s="189"/>
      <c r="Q144" s="185"/>
    </row>
    <row r="145" spans="1:17" s="184" customFormat="1" ht="16.899999999999999" customHeight="1" thickBot="1">
      <c r="A145" s="1264"/>
      <c r="B145" s="1034" t="s">
        <v>83</v>
      </c>
      <c r="C145" s="1046">
        <v>0</v>
      </c>
      <c r="D145" s="1046">
        <f t="shared" si="40"/>
        <v>0</v>
      </c>
      <c r="E145" s="1036">
        <v>0</v>
      </c>
      <c r="F145" s="1037">
        <v>0</v>
      </c>
      <c r="G145" s="402"/>
      <c r="H145" s="182"/>
      <c r="I145" s="189"/>
      <c r="Q145" s="185"/>
    </row>
    <row r="146" spans="1:17" s="184" customFormat="1" ht="16.899999999999999" customHeight="1" thickBot="1">
      <c r="A146" s="1265"/>
      <c r="B146" s="943" t="s">
        <v>79</v>
      </c>
      <c r="C146" s="944">
        <f>C140+C144+C145</f>
        <v>37371</v>
      </c>
      <c r="D146" s="944">
        <f>D140+D144+D145</f>
        <v>37371</v>
      </c>
      <c r="E146" s="944">
        <f t="shared" ref="E146:F146" si="42">E140+E144+E145</f>
        <v>0</v>
      </c>
      <c r="F146" s="348">
        <f t="shared" si="42"/>
        <v>0</v>
      </c>
      <c r="G146" s="402"/>
      <c r="H146" s="182"/>
      <c r="I146" s="189"/>
      <c r="Q146" s="185"/>
    </row>
    <row r="147" spans="1:17" s="196" customFormat="1" ht="24.95" customHeight="1">
      <c r="A147" s="1266"/>
      <c r="B147" s="171" t="s">
        <v>6</v>
      </c>
      <c r="C147" s="940">
        <f>SUM(C5+C57+C70+C83)</f>
        <v>654357</v>
      </c>
      <c r="D147" s="940">
        <f t="shared" ref="C147:F157" si="43">SUM(D5+D57+D70+D83)</f>
        <v>654357</v>
      </c>
      <c r="E147" s="940">
        <f t="shared" si="43"/>
        <v>0</v>
      </c>
      <c r="F147" s="344">
        <f t="shared" si="43"/>
        <v>0</v>
      </c>
      <c r="G147" s="405"/>
      <c r="H147" s="406"/>
      <c r="I147" s="195"/>
    </row>
    <row r="148" spans="1:17" s="8" customFormat="1" ht="16.899999999999999" customHeight="1">
      <c r="A148" s="1267"/>
      <c r="B148" s="1030" t="s">
        <v>162</v>
      </c>
      <c r="C148" s="1047">
        <f t="shared" si="43"/>
        <v>131109</v>
      </c>
      <c r="D148" s="1047">
        <f t="shared" si="43"/>
        <v>131109</v>
      </c>
      <c r="E148" s="1047">
        <f t="shared" si="43"/>
        <v>0</v>
      </c>
      <c r="F148" s="345">
        <f t="shared" si="43"/>
        <v>0</v>
      </c>
      <c r="G148" s="407"/>
      <c r="H148" s="408"/>
      <c r="I148" s="173"/>
    </row>
    <row r="149" spans="1:17" s="8" customFormat="1" ht="16.899999999999999" customHeight="1">
      <c r="A149" s="1267"/>
      <c r="B149" s="1030" t="s">
        <v>78</v>
      </c>
      <c r="C149" s="1047">
        <f t="shared" si="43"/>
        <v>440975</v>
      </c>
      <c r="D149" s="1047">
        <f t="shared" si="43"/>
        <v>440975</v>
      </c>
      <c r="E149" s="1047">
        <f t="shared" si="43"/>
        <v>0</v>
      </c>
      <c r="F149" s="345">
        <f t="shared" si="43"/>
        <v>0</v>
      </c>
      <c r="G149" s="407"/>
      <c r="H149" s="408"/>
      <c r="I149" s="173"/>
    </row>
    <row r="150" spans="1:17" s="8" customFormat="1" ht="16.899999999999999" customHeight="1">
      <c r="A150" s="1267"/>
      <c r="B150" s="1030" t="s">
        <v>7</v>
      </c>
      <c r="C150" s="1047">
        <f t="shared" ref="C150" si="44">SUM(C8+C60+C73+C86)</f>
        <v>0</v>
      </c>
      <c r="D150" s="1047">
        <f t="shared" si="43"/>
        <v>0</v>
      </c>
      <c r="E150" s="1047">
        <f t="shared" si="43"/>
        <v>0</v>
      </c>
      <c r="F150" s="345">
        <f t="shared" si="43"/>
        <v>0</v>
      </c>
      <c r="G150" s="407"/>
      <c r="H150" s="408"/>
      <c r="I150" s="173"/>
    </row>
    <row r="151" spans="1:17" s="8" customFormat="1" ht="16.899999999999999" customHeight="1">
      <c r="A151" s="1267"/>
      <c r="B151" s="1030" t="s">
        <v>189</v>
      </c>
      <c r="C151" s="1047">
        <f t="shared" ref="C151" si="45">SUM(C9+C61+C74+C87)</f>
        <v>0</v>
      </c>
      <c r="D151" s="1047">
        <f t="shared" si="43"/>
        <v>0</v>
      </c>
      <c r="E151" s="1047">
        <f t="shared" si="43"/>
        <v>0</v>
      </c>
      <c r="F151" s="345">
        <f t="shared" si="43"/>
        <v>0</v>
      </c>
      <c r="G151" s="407"/>
      <c r="H151" s="408"/>
      <c r="I151" s="173"/>
    </row>
    <row r="152" spans="1:17" s="8" customFormat="1" ht="16.899999999999999" customHeight="1">
      <c r="A152" s="1267"/>
      <c r="B152" s="1032" t="s">
        <v>190</v>
      </c>
      <c r="C152" s="1049">
        <f t="shared" si="43"/>
        <v>1226441</v>
      </c>
      <c r="D152" s="1049">
        <f t="shared" si="43"/>
        <v>1226441</v>
      </c>
      <c r="E152" s="1047">
        <f t="shared" si="43"/>
        <v>0</v>
      </c>
      <c r="F152" s="345">
        <f t="shared" si="43"/>
        <v>0</v>
      </c>
      <c r="G152" s="407"/>
      <c r="H152" s="408"/>
      <c r="I152" s="173"/>
    </row>
    <row r="153" spans="1:17" s="177" customFormat="1" ht="16.899999999999999" customHeight="1">
      <c r="A153" s="1267"/>
      <c r="B153" s="1030" t="s">
        <v>191</v>
      </c>
      <c r="C153" s="1047">
        <f>SUM(C11+C63+C76+C89)</f>
        <v>6428</v>
      </c>
      <c r="D153" s="1047">
        <f>SUM(D11+D63+D76+D89)</f>
        <v>6428</v>
      </c>
      <c r="E153" s="1047">
        <f t="shared" si="43"/>
        <v>0</v>
      </c>
      <c r="F153" s="345">
        <f t="shared" si="43"/>
        <v>0</v>
      </c>
      <c r="G153" s="409"/>
      <c r="H153" s="408"/>
      <c r="I153" s="176"/>
    </row>
    <row r="154" spans="1:17" s="8" customFormat="1" ht="16.899999999999999" customHeight="1">
      <c r="A154" s="1267"/>
      <c r="B154" s="1030" t="s">
        <v>16</v>
      </c>
      <c r="C154" s="1047">
        <f>SUM(C12+C64+C77+C90)</f>
        <v>20824</v>
      </c>
      <c r="D154" s="1047">
        <f t="shared" si="43"/>
        <v>20824</v>
      </c>
      <c r="E154" s="1047">
        <f t="shared" si="43"/>
        <v>0</v>
      </c>
      <c r="F154" s="345">
        <f t="shared" si="43"/>
        <v>0</v>
      </c>
      <c r="G154" s="407"/>
      <c r="H154" s="408"/>
      <c r="I154" s="173"/>
    </row>
    <row r="155" spans="1:17" s="8" customFormat="1" ht="16.899999999999999" customHeight="1">
      <c r="A155" s="1267"/>
      <c r="B155" s="1030" t="s">
        <v>192</v>
      </c>
      <c r="C155" s="1047">
        <f t="shared" si="43"/>
        <v>0</v>
      </c>
      <c r="D155" s="1047">
        <f t="shared" si="43"/>
        <v>0</v>
      </c>
      <c r="E155" s="1047">
        <f t="shared" si="43"/>
        <v>0</v>
      </c>
      <c r="F155" s="345">
        <f t="shared" si="43"/>
        <v>0</v>
      </c>
      <c r="G155" s="407"/>
      <c r="H155" s="408"/>
      <c r="I155" s="173"/>
    </row>
    <row r="156" spans="1:17" s="8" customFormat="1" ht="16.899999999999999" customHeight="1">
      <c r="A156" s="1267"/>
      <c r="B156" s="1032" t="s">
        <v>193</v>
      </c>
      <c r="C156" s="1049">
        <f>SUM(C14+C66+C79+C92)</f>
        <v>27252</v>
      </c>
      <c r="D156" s="1049">
        <f t="shared" si="43"/>
        <v>27252</v>
      </c>
      <c r="E156" s="1047">
        <f t="shared" si="43"/>
        <v>0</v>
      </c>
      <c r="F156" s="345">
        <f t="shared" si="43"/>
        <v>0</v>
      </c>
      <c r="G156" s="407"/>
      <c r="H156" s="408"/>
      <c r="I156" s="173"/>
    </row>
    <row r="157" spans="1:17" s="8" customFormat="1" ht="16.899999999999999" customHeight="1" thickBot="1">
      <c r="A157" s="1268"/>
      <c r="B157" s="1034" t="s">
        <v>83</v>
      </c>
      <c r="C157" s="1046">
        <f t="shared" si="43"/>
        <v>0</v>
      </c>
      <c r="D157" s="1046">
        <f t="shared" si="43"/>
        <v>0</v>
      </c>
      <c r="E157" s="1046">
        <f t="shared" si="43"/>
        <v>0</v>
      </c>
      <c r="F157" s="1037">
        <f t="shared" si="43"/>
        <v>0</v>
      </c>
      <c r="G157" s="407"/>
      <c r="H157" s="408"/>
      <c r="I157" s="173"/>
    </row>
    <row r="158" spans="1:17" s="8" customFormat="1" ht="16.899999999999999" customHeight="1" thickBot="1">
      <c r="A158" s="1255" t="s">
        <v>79</v>
      </c>
      <c r="B158" s="1256"/>
      <c r="C158" s="937">
        <f>C16+C68+C81+C94</f>
        <v>1253693</v>
      </c>
      <c r="D158" s="937">
        <f>D16+D68+D81+D94</f>
        <v>1253693</v>
      </c>
      <c r="E158" s="937">
        <f>E16+E68+E81</f>
        <v>0</v>
      </c>
      <c r="F158" s="938">
        <f>F16+F68+F81</f>
        <v>0</v>
      </c>
      <c r="G158" s="407"/>
      <c r="H158" s="408"/>
      <c r="I158" s="173"/>
    </row>
    <row r="159" spans="1:17" s="177" customFormat="1" ht="16.899999999999999" customHeight="1">
      <c r="A159" s="5"/>
      <c r="B159" s="5"/>
      <c r="C159" s="4"/>
      <c r="D159" s="4"/>
      <c r="E159" s="5"/>
      <c r="F159" s="7"/>
      <c r="G159" s="409"/>
      <c r="H159" s="408"/>
      <c r="I159" s="176"/>
    </row>
    <row r="160" spans="1:17" s="8" customFormat="1" ht="21" customHeight="1">
      <c r="A160" s="5"/>
      <c r="B160" s="5" t="s">
        <v>55</v>
      </c>
      <c r="C160" s="4"/>
      <c r="D160" s="4"/>
      <c r="E160" s="5"/>
      <c r="F160" s="7"/>
      <c r="G160" s="407"/>
      <c r="H160" s="408"/>
      <c r="I160" s="173"/>
    </row>
    <row r="161" spans="1:11" s="8" customFormat="1" ht="21" customHeight="1">
      <c r="A161" s="5"/>
      <c r="B161" s="5"/>
      <c r="C161" s="4"/>
      <c r="D161" s="4"/>
      <c r="E161" s="5"/>
      <c r="F161" s="312" t="s">
        <v>55</v>
      </c>
      <c r="G161" s="407"/>
      <c r="H161" s="408"/>
      <c r="I161" s="173"/>
    </row>
    <row r="162" spans="1:11" s="8" customFormat="1" ht="21" customHeight="1">
      <c r="A162" s="5"/>
      <c r="B162" s="5" t="s">
        <v>55</v>
      </c>
      <c r="C162" s="4"/>
      <c r="D162" s="4"/>
      <c r="E162" s="5"/>
      <c r="F162" s="7"/>
      <c r="G162" s="407"/>
      <c r="H162" s="408"/>
      <c r="I162" s="173"/>
    </row>
    <row r="163" spans="1:11" s="8" customFormat="1" ht="21" customHeight="1">
      <c r="A163" s="5"/>
      <c r="B163" s="5" t="s">
        <v>55</v>
      </c>
      <c r="C163" s="4"/>
      <c r="D163" s="4"/>
      <c r="E163" s="5"/>
      <c r="F163" s="7"/>
      <c r="G163" s="407"/>
      <c r="H163" s="408"/>
      <c r="I163" s="173"/>
    </row>
    <row r="164" spans="1:11" s="8" customFormat="1" ht="21" customHeight="1">
      <c r="A164" s="5"/>
      <c r="B164" s="5" t="s">
        <v>55</v>
      </c>
      <c r="C164" s="4"/>
      <c r="D164" s="4"/>
      <c r="E164" s="5"/>
      <c r="F164" s="7"/>
      <c r="G164" s="407"/>
      <c r="H164" s="408"/>
      <c r="I164" s="173"/>
    </row>
    <row r="165" spans="1:11" s="8" customFormat="1" ht="24.95" customHeight="1">
      <c r="A165" s="5"/>
      <c r="B165" s="5"/>
      <c r="C165" s="4"/>
      <c r="D165" s="4"/>
      <c r="E165" s="5"/>
      <c r="F165" s="7"/>
      <c r="G165" s="407"/>
      <c r="H165" s="408"/>
      <c r="I165" s="173" t="s">
        <v>55</v>
      </c>
      <c r="J165" s="173"/>
      <c r="K165" s="173"/>
    </row>
    <row r="166" spans="1:11" s="8" customFormat="1" ht="21" customHeight="1">
      <c r="A166" s="5"/>
      <c r="B166" s="5"/>
      <c r="C166" s="4"/>
      <c r="D166" s="4"/>
      <c r="E166" s="5"/>
      <c r="F166" s="7"/>
      <c r="G166" s="407"/>
      <c r="H166" s="408"/>
      <c r="I166" s="173"/>
    </row>
    <row r="167" spans="1:11" s="8" customFormat="1" ht="21" customHeight="1">
      <c r="A167" s="5"/>
      <c r="B167" s="5"/>
      <c r="C167" s="4"/>
      <c r="D167" s="4"/>
      <c r="E167" s="5"/>
      <c r="F167" s="7"/>
      <c r="G167" s="407"/>
      <c r="H167" s="408"/>
      <c r="I167" s="173"/>
    </row>
    <row r="168" spans="1:11" s="8" customFormat="1" ht="21" customHeight="1">
      <c r="A168" s="5"/>
      <c r="B168" s="5"/>
      <c r="C168" s="4"/>
      <c r="D168" s="4"/>
      <c r="E168" s="5"/>
      <c r="F168" s="7"/>
      <c r="G168" s="407"/>
      <c r="H168" s="408"/>
      <c r="I168" s="173"/>
    </row>
    <row r="169" spans="1:11" s="8" customFormat="1" ht="24.95" customHeight="1">
      <c r="A169" s="5"/>
      <c r="B169" s="5"/>
      <c r="C169" s="4"/>
      <c r="D169" s="4"/>
      <c r="E169" s="5"/>
      <c r="F169" s="7"/>
      <c r="G169" s="407"/>
      <c r="H169" s="408"/>
      <c r="I169" s="173"/>
      <c r="J169" s="517"/>
    </row>
    <row r="170" spans="1:11" s="8" customFormat="1" ht="21" customHeight="1" thickBot="1">
      <c r="A170" s="5"/>
      <c r="B170" s="5"/>
      <c r="C170" s="4"/>
      <c r="D170" s="4"/>
      <c r="E170" s="5"/>
      <c r="F170" s="7"/>
      <c r="G170" s="407"/>
      <c r="H170" s="408"/>
      <c r="I170" s="173"/>
    </row>
    <row r="171" spans="1:11" s="291" customFormat="1" ht="44.25" customHeight="1" thickBot="1">
      <c r="A171" s="5"/>
      <c r="B171" s="5"/>
      <c r="C171" s="4"/>
      <c r="D171" s="4"/>
      <c r="E171" s="5"/>
      <c r="F171" s="7"/>
      <c r="G171" s="329" t="e">
        <f>G16+G68+G81+#REF!+#REF!+#REF!+G94</f>
        <v>#REF!</v>
      </c>
      <c r="H171" s="292" t="e">
        <f>H16+H68+H81+#REF!+#REF!+#REF!+H94</f>
        <v>#REF!</v>
      </c>
      <c r="I171" s="290"/>
      <c r="J171" s="518"/>
    </row>
  </sheetData>
  <mergeCells count="19">
    <mergeCell ref="A158:B158"/>
    <mergeCell ref="A57:A68"/>
    <mergeCell ref="B43:F43"/>
    <mergeCell ref="C134:F134"/>
    <mergeCell ref="A5:A55"/>
    <mergeCell ref="A83:A146"/>
    <mergeCell ref="A147:A157"/>
    <mergeCell ref="A1:F1"/>
    <mergeCell ref="B121:F121"/>
    <mergeCell ref="B108:F108"/>
    <mergeCell ref="B95:F95"/>
    <mergeCell ref="B82:F82"/>
    <mergeCell ref="D4:F4"/>
    <mergeCell ref="B56:F56"/>
    <mergeCell ref="A70:A81"/>
    <mergeCell ref="B17:F17"/>
    <mergeCell ref="B30:F30"/>
    <mergeCell ref="E2:F2"/>
    <mergeCell ref="B69:F69"/>
  </mergeCells>
  <phoneticPr fontId="5" type="noConversion"/>
  <printOptions horizontalCentered="1"/>
  <pageMargins left="0.70866141732283472" right="0.70866141732283472" top="0.78740157480314965" bottom="0.78740157480314965" header="0.39370078740157483" footer="0.39370078740157483"/>
  <pageSetup paperSize="9" scale="62" fitToHeight="0" orientation="portrait" r:id="rId1"/>
  <headerFooter alignWithMargins="0">
    <oddHeader>&amp;L&amp;"Arial,Dőlt" 6&amp;U. melléklet a 2/2020. (II.14.) önkormányzati rendelethez</oddHeader>
    <oddFooter xml:space="preserve">&amp;C&amp;9 </oddFooter>
  </headerFooter>
  <rowBreaks count="3" manualBreakCount="3">
    <brk id="55" max="5" man="1"/>
    <brk id="107" max="5" man="1"/>
    <brk id="158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DA289"/>
  <sheetViews>
    <sheetView view="pageLayout" topLeftCell="A273" zoomScaleNormal="100" zoomScaleSheetLayoutView="100" workbookViewId="0">
      <selection activeCell="B276" sqref="B276"/>
    </sheetView>
  </sheetViews>
  <sheetFormatPr defaultColWidth="12.7109375" defaultRowHeight="12.75"/>
  <cols>
    <col min="1" max="1" width="8.140625" style="5" customWidth="1"/>
    <col min="2" max="2" width="52" style="6" customWidth="1"/>
    <col min="3" max="3" width="16" style="962" customWidth="1"/>
    <col min="4" max="5" width="16.28515625" style="963" customWidth="1"/>
    <col min="6" max="6" width="16.28515625" style="4" customWidth="1"/>
    <col min="7" max="7" width="35.42578125" style="4" customWidth="1"/>
    <col min="8" max="8" width="12.7109375" style="4" hidden="1" customWidth="1"/>
    <col min="9" max="9" width="23" style="4" customWidth="1"/>
    <col min="10" max="10" width="3.28515625" style="4" customWidth="1"/>
    <col min="11" max="16384" width="12.7109375" style="4"/>
  </cols>
  <sheetData>
    <row r="1" spans="1:7" s="1" customFormat="1" ht="29.25" customHeight="1">
      <c r="A1" s="1269" t="s">
        <v>281</v>
      </c>
      <c r="B1" s="1269"/>
      <c r="C1" s="1270"/>
      <c r="D1" s="1270"/>
      <c r="E1" s="1270"/>
      <c r="F1" s="1270"/>
    </row>
    <row r="2" spans="1:7" s="1" customFormat="1" ht="11.25" customHeight="1" thickBot="1">
      <c r="A2" s="1054"/>
      <c r="B2" s="1054"/>
      <c r="C2" s="1055"/>
      <c r="D2" s="1055"/>
      <c r="E2" s="1055"/>
      <c r="F2" s="1065" t="s">
        <v>692</v>
      </c>
    </row>
    <row r="3" spans="1:7" s="2" customFormat="1" ht="46.5" customHeight="1" thickBot="1">
      <c r="A3" s="155" t="s">
        <v>126</v>
      </c>
      <c r="B3" s="373" t="s">
        <v>37</v>
      </c>
      <c r="C3" s="954" t="s">
        <v>148</v>
      </c>
      <c r="D3" s="955" t="s">
        <v>165</v>
      </c>
      <c r="E3" s="955" t="s">
        <v>166</v>
      </c>
      <c r="F3" s="790" t="s">
        <v>161</v>
      </c>
    </row>
    <row r="4" spans="1:7" s="282" customFormat="1" ht="33" customHeight="1" thickBot="1">
      <c r="A4" s="281" t="s">
        <v>138</v>
      </c>
      <c r="B4" s="374" t="s">
        <v>38</v>
      </c>
      <c r="C4" s="1298"/>
      <c r="D4" s="1299"/>
      <c r="E4" s="1299"/>
      <c r="F4" s="1300"/>
    </row>
    <row r="5" spans="1:7" s="3" customFormat="1" ht="28.9" customHeight="1">
      <c r="A5" s="156" t="s">
        <v>21</v>
      </c>
      <c r="B5" s="157" t="s">
        <v>39</v>
      </c>
      <c r="C5" s="1301"/>
      <c r="D5" s="1302"/>
      <c r="E5" s="1302"/>
      <c r="F5" s="1303"/>
    </row>
    <row r="6" spans="1:7" s="3" customFormat="1" ht="21" customHeight="1">
      <c r="A6" s="457"/>
      <c r="B6" s="375" t="s">
        <v>6</v>
      </c>
      <c r="C6" s="956">
        <v>0</v>
      </c>
      <c r="D6" s="957">
        <v>0</v>
      </c>
      <c r="E6" s="957">
        <v>0</v>
      </c>
      <c r="F6" s="360">
        <v>0</v>
      </c>
    </row>
    <row r="7" spans="1:7" s="3" customFormat="1" ht="21" customHeight="1">
      <c r="A7" s="326"/>
      <c r="B7" s="375" t="s">
        <v>162</v>
      </c>
      <c r="C7" s="956">
        <v>0</v>
      </c>
      <c r="D7" s="957">
        <v>0</v>
      </c>
      <c r="E7" s="957">
        <v>0</v>
      </c>
      <c r="F7" s="360">
        <v>0</v>
      </c>
    </row>
    <row r="8" spans="1:7" s="3" customFormat="1" ht="21" customHeight="1">
      <c r="A8" s="326"/>
      <c r="B8" s="715" t="s">
        <v>78</v>
      </c>
      <c r="C8" s="956">
        <f>46500-28499-5000</f>
        <v>13001</v>
      </c>
      <c r="D8" s="956">
        <f>C8</f>
        <v>13001</v>
      </c>
      <c r="E8" s="957">
        <v>0</v>
      </c>
      <c r="F8" s="360">
        <v>0</v>
      </c>
      <c r="G8" s="3" t="s">
        <v>758</v>
      </c>
    </row>
    <row r="9" spans="1:7" s="3" customFormat="1" ht="21" customHeight="1">
      <c r="A9" s="326"/>
      <c r="B9" s="375" t="s">
        <v>13</v>
      </c>
      <c r="C9" s="956">
        <v>0</v>
      </c>
      <c r="D9" s="956">
        <f>C9</f>
        <v>0</v>
      </c>
      <c r="E9" s="957">
        <v>0</v>
      </c>
      <c r="F9" s="360">
        <v>0</v>
      </c>
    </row>
    <row r="10" spans="1:7" s="10" customFormat="1" ht="22.9" customHeight="1">
      <c r="A10" s="986"/>
      <c r="B10" s="1124" t="s">
        <v>102</v>
      </c>
      <c r="C10" s="1125">
        <f>SUM(C6:C9)</f>
        <v>13001</v>
      </c>
      <c r="D10" s="1125">
        <f>SUM(D6:D9)</f>
        <v>13001</v>
      </c>
      <c r="E10" s="1125">
        <f>SUM(E6:E9)</f>
        <v>0</v>
      </c>
      <c r="F10" s="1096">
        <f>SUM(F6:F9)</f>
        <v>0</v>
      </c>
    </row>
    <row r="11" spans="1:7" s="3" customFormat="1" ht="22.9" customHeight="1">
      <c r="A11" s="905"/>
      <c r="B11" s="906" t="s">
        <v>191</v>
      </c>
      <c r="C11" s="956">
        <f>'9'!C22</f>
        <v>69000</v>
      </c>
      <c r="D11" s="956">
        <f>'9'!D22</f>
        <v>69000</v>
      </c>
      <c r="E11" s="956"/>
      <c r="F11" s="791"/>
      <c r="G11" s="3" t="s">
        <v>779</v>
      </c>
    </row>
    <row r="12" spans="1:7" s="3" customFormat="1" ht="22.9" customHeight="1">
      <c r="A12" s="905"/>
      <c r="B12" s="906" t="s">
        <v>16</v>
      </c>
      <c r="C12" s="956">
        <f>'9'!C50</f>
        <v>15000</v>
      </c>
      <c r="D12" s="956">
        <f>'9'!D50</f>
        <v>15000</v>
      </c>
      <c r="E12" s="956"/>
      <c r="F12" s="791"/>
      <c r="G12" s="3" t="s">
        <v>778</v>
      </c>
    </row>
    <row r="13" spans="1:7" s="10" customFormat="1" ht="22.9" customHeight="1">
      <c r="A13" s="986"/>
      <c r="B13" s="778" t="s">
        <v>556</v>
      </c>
      <c r="C13" s="1125">
        <f>SUM(C11:C12)</f>
        <v>84000</v>
      </c>
      <c r="D13" s="1125">
        <f>SUM(D11:D12)</f>
        <v>84000</v>
      </c>
      <c r="E13" s="1125">
        <f>SUM(E11:E12)</f>
        <v>0</v>
      </c>
      <c r="F13" s="1096">
        <f>SUM(F11:F12)</f>
        <v>0</v>
      </c>
    </row>
    <row r="14" spans="1:7" s="3" customFormat="1" ht="28.9" customHeight="1">
      <c r="A14" s="154" t="s">
        <v>22</v>
      </c>
      <c r="B14" s="376" t="s">
        <v>40</v>
      </c>
      <c r="C14" s="1295"/>
      <c r="D14" s="1296"/>
      <c r="E14" s="1296"/>
      <c r="F14" s="1297"/>
    </row>
    <row r="15" spans="1:7" s="3" customFormat="1" ht="21" customHeight="1">
      <c r="A15" s="1129"/>
      <c r="B15" s="375" t="s">
        <v>6</v>
      </c>
      <c r="C15" s="1081">
        <v>0</v>
      </c>
      <c r="D15" s="1081">
        <v>0</v>
      </c>
      <c r="E15" s="1081">
        <v>0</v>
      </c>
      <c r="F15" s="1081">
        <v>0</v>
      </c>
    </row>
    <row r="16" spans="1:7" s="3" customFormat="1" ht="21" customHeight="1">
      <c r="A16" s="326"/>
      <c r="B16" s="375" t="s">
        <v>162</v>
      </c>
      <c r="C16" s="1081">
        <v>0</v>
      </c>
      <c r="D16" s="1081">
        <v>0</v>
      </c>
      <c r="E16" s="1081">
        <v>0</v>
      </c>
      <c r="F16" s="1081">
        <v>0</v>
      </c>
    </row>
    <row r="17" spans="1:9" s="3" customFormat="1" ht="26.25" customHeight="1">
      <c r="A17" s="326"/>
      <c r="B17" s="715" t="s">
        <v>78</v>
      </c>
      <c r="C17" s="956">
        <v>2000</v>
      </c>
      <c r="D17" s="956">
        <f>C17</f>
        <v>2000</v>
      </c>
      <c r="E17" s="1081">
        <v>0</v>
      </c>
      <c r="F17" s="1081">
        <v>0</v>
      </c>
      <c r="G17" s="3" t="s">
        <v>716</v>
      </c>
    </row>
    <row r="18" spans="1:9" s="3" customFormat="1" ht="21" customHeight="1">
      <c r="A18" s="326"/>
      <c r="B18" s="375" t="s">
        <v>13</v>
      </c>
      <c r="C18" s="1081">
        <v>0</v>
      </c>
      <c r="D18" s="1080">
        <v>0</v>
      </c>
      <c r="E18" s="956">
        <v>0</v>
      </c>
      <c r="F18" s="1081">
        <v>0</v>
      </c>
    </row>
    <row r="19" spans="1:9" s="10" customFormat="1" ht="22.9" customHeight="1">
      <c r="A19" s="1130"/>
      <c r="B19" s="1127" t="s">
        <v>102</v>
      </c>
      <c r="C19" s="1128">
        <f>SUM(C15:C18)</f>
        <v>2000</v>
      </c>
      <c r="D19" s="1128">
        <f>SUM(D15:D18)</f>
        <v>2000</v>
      </c>
      <c r="E19" s="1125">
        <f>SUM(E15:E18)</f>
        <v>0</v>
      </c>
      <c r="F19" s="1128">
        <f>SUM(F15:F18)</f>
        <v>0</v>
      </c>
    </row>
    <row r="20" spans="1:9" s="3" customFormat="1" ht="22.9" customHeight="1">
      <c r="A20" s="326"/>
      <c r="B20" s="906" t="s">
        <v>191</v>
      </c>
      <c r="C20" s="1081">
        <v>0</v>
      </c>
      <c r="D20" s="956">
        <f>C20</f>
        <v>0</v>
      </c>
      <c r="E20" s="956">
        <v>0</v>
      </c>
      <c r="F20" s="956">
        <v>0</v>
      </c>
    </row>
    <row r="21" spans="1:9" s="3" customFormat="1" ht="22.9" customHeight="1">
      <c r="A21" s="326"/>
      <c r="B21" s="906" t="s">
        <v>16</v>
      </c>
      <c r="C21" s="1081">
        <v>0</v>
      </c>
      <c r="D21" s="956">
        <v>0</v>
      </c>
      <c r="E21" s="956">
        <v>0</v>
      </c>
      <c r="F21" s="956">
        <v>0</v>
      </c>
    </row>
    <row r="22" spans="1:9" s="3" customFormat="1" ht="22.9" customHeight="1">
      <c r="A22" s="326"/>
      <c r="B22" s="906" t="s">
        <v>192</v>
      </c>
      <c r="C22" s="1081">
        <v>0</v>
      </c>
      <c r="D22" s="956">
        <f>C22</f>
        <v>0</v>
      </c>
      <c r="E22" s="956">
        <v>0</v>
      </c>
      <c r="F22" s="956">
        <v>0</v>
      </c>
    </row>
    <row r="23" spans="1:9" s="10" customFormat="1" ht="22.9" customHeight="1">
      <c r="A23" s="1126"/>
      <c r="B23" s="778" t="s">
        <v>556</v>
      </c>
      <c r="C23" s="1081">
        <f>SUM(C20:C22)</f>
        <v>0</v>
      </c>
      <c r="D23" s="1081">
        <f t="shared" ref="D23:F23" si="0">SUM(D20:D22)</f>
        <v>0</v>
      </c>
      <c r="E23" s="1081">
        <f t="shared" si="0"/>
        <v>0</v>
      </c>
      <c r="F23" s="1081">
        <f t="shared" si="0"/>
        <v>0</v>
      </c>
    </row>
    <row r="24" spans="1:9" s="3" customFormat="1" ht="28.9" customHeight="1">
      <c r="A24" s="154" t="s">
        <v>23</v>
      </c>
      <c r="B24" s="376" t="s">
        <v>41</v>
      </c>
      <c r="C24" s="1283"/>
      <c r="D24" s="1284"/>
      <c r="E24" s="1284"/>
      <c r="F24" s="1285"/>
    </row>
    <row r="25" spans="1:9" s="3" customFormat="1" ht="21" customHeight="1">
      <c r="A25" s="1129"/>
      <c r="B25" s="375" t="s">
        <v>6</v>
      </c>
      <c r="C25" s="956">
        <v>0</v>
      </c>
      <c r="D25" s="957">
        <v>0</v>
      </c>
      <c r="E25" s="957">
        <v>0</v>
      </c>
      <c r="F25" s="360">
        <v>0</v>
      </c>
    </row>
    <row r="26" spans="1:9" s="3" customFormat="1" ht="21" customHeight="1">
      <c r="A26" s="326"/>
      <c r="B26" s="375" t="s">
        <v>162</v>
      </c>
      <c r="C26" s="956">
        <v>0</v>
      </c>
      <c r="D26" s="957">
        <v>0</v>
      </c>
      <c r="E26" s="957">
        <v>0</v>
      </c>
      <c r="F26" s="360">
        <v>0</v>
      </c>
    </row>
    <row r="27" spans="1:9" s="504" customFormat="1" ht="27.75" customHeight="1">
      <c r="A27" s="503"/>
      <c r="B27" s="716" t="s">
        <v>78</v>
      </c>
      <c r="C27" s="956">
        <f>6100-4000</f>
        <v>2100</v>
      </c>
      <c r="D27" s="956">
        <f>C27</f>
        <v>2100</v>
      </c>
      <c r="E27" s="957">
        <v>0</v>
      </c>
      <c r="F27" s="360">
        <v>0</v>
      </c>
      <c r="G27" s="504" t="s">
        <v>677</v>
      </c>
      <c r="I27" s="504" t="s">
        <v>760</v>
      </c>
    </row>
    <row r="28" spans="1:9" s="3" customFormat="1" ht="21" customHeight="1">
      <c r="A28" s="326"/>
      <c r="B28" s="375" t="s">
        <v>13</v>
      </c>
      <c r="C28" s="956">
        <v>0</v>
      </c>
      <c r="D28" s="956">
        <v>0</v>
      </c>
      <c r="E28" s="957">
        <v>0</v>
      </c>
      <c r="F28" s="360">
        <v>0</v>
      </c>
    </row>
    <row r="29" spans="1:9" s="10" customFormat="1" ht="22.9" customHeight="1">
      <c r="A29" s="1130"/>
      <c r="B29" s="1127" t="s">
        <v>102</v>
      </c>
      <c r="C29" s="1125">
        <f>SUM(C25:C28)</f>
        <v>2100</v>
      </c>
      <c r="D29" s="1125">
        <f t="shared" ref="D29:F29" si="1">SUM(D25:D28)</f>
        <v>2100</v>
      </c>
      <c r="E29" s="1125">
        <f t="shared" si="1"/>
        <v>0</v>
      </c>
      <c r="F29" s="1096">
        <f t="shared" si="1"/>
        <v>0</v>
      </c>
    </row>
    <row r="30" spans="1:9" s="3" customFormat="1" ht="22.9" customHeight="1">
      <c r="A30" s="326"/>
      <c r="B30" s="906" t="s">
        <v>191</v>
      </c>
      <c r="C30" s="956">
        <v>0</v>
      </c>
      <c r="D30" s="956">
        <f>C30</f>
        <v>0</v>
      </c>
      <c r="E30" s="956">
        <v>0</v>
      </c>
      <c r="F30" s="791">
        <v>0</v>
      </c>
    </row>
    <row r="31" spans="1:9" s="3" customFormat="1" ht="22.9" customHeight="1">
      <c r="A31" s="326"/>
      <c r="B31" s="906" t="s">
        <v>16</v>
      </c>
      <c r="C31" s="956">
        <v>0</v>
      </c>
      <c r="D31" s="956">
        <v>0</v>
      </c>
      <c r="E31" s="956">
        <v>0</v>
      </c>
      <c r="F31" s="791">
        <v>0</v>
      </c>
    </row>
    <row r="32" spans="1:9" s="10" customFormat="1" ht="22.9" customHeight="1">
      <c r="A32" s="1126"/>
      <c r="B32" s="778" t="s">
        <v>556</v>
      </c>
      <c r="C32" s="634">
        <f>SUM(C30:C31)</f>
        <v>0</v>
      </c>
      <c r="D32" s="634">
        <f>SUM(D30:D31)</f>
        <v>0</v>
      </c>
      <c r="E32" s="634">
        <f>SUM(E30:E31)</f>
        <v>0</v>
      </c>
      <c r="F32" s="1096">
        <f>SUM(F30:F31)</f>
        <v>0</v>
      </c>
    </row>
    <row r="33" spans="1:7" s="3" customFormat="1" ht="28.9" customHeight="1">
      <c r="A33" s="154" t="s">
        <v>24</v>
      </c>
      <c r="B33" s="376" t="s">
        <v>43</v>
      </c>
      <c r="C33" s="1283"/>
      <c r="D33" s="1284"/>
      <c r="E33" s="1284"/>
      <c r="F33" s="1285"/>
    </row>
    <row r="34" spans="1:7" s="3" customFormat="1" ht="21" customHeight="1">
      <c r="A34" s="1129"/>
      <c r="B34" s="375" t="s">
        <v>6</v>
      </c>
      <c r="C34" s="956">
        <v>0</v>
      </c>
      <c r="D34" s="957">
        <v>0</v>
      </c>
      <c r="E34" s="957">
        <v>0</v>
      </c>
      <c r="F34" s="360">
        <v>0</v>
      </c>
    </row>
    <row r="35" spans="1:7" s="3" customFormat="1" ht="21" customHeight="1">
      <c r="A35" s="326"/>
      <c r="B35" s="375" t="s">
        <v>162</v>
      </c>
      <c r="C35" s="956">
        <v>0</v>
      </c>
      <c r="D35" s="957">
        <v>0</v>
      </c>
      <c r="E35" s="957">
        <v>0</v>
      </c>
      <c r="F35" s="360">
        <v>0</v>
      </c>
    </row>
    <row r="36" spans="1:7" s="3" customFormat="1" ht="21" customHeight="1">
      <c r="A36" s="326"/>
      <c r="B36" s="715" t="s">
        <v>78</v>
      </c>
      <c r="C36" s="956">
        <v>3000</v>
      </c>
      <c r="D36" s="956">
        <v>3000</v>
      </c>
      <c r="E36" s="957">
        <v>0</v>
      </c>
      <c r="F36" s="360">
        <v>0</v>
      </c>
      <c r="G36" s="3" t="s">
        <v>710</v>
      </c>
    </row>
    <row r="37" spans="1:7" s="3" customFormat="1" ht="21" customHeight="1">
      <c r="A37" s="326"/>
      <c r="B37" s="375" t="s">
        <v>13</v>
      </c>
      <c r="C37" s="956">
        <v>0</v>
      </c>
      <c r="D37" s="956">
        <v>0</v>
      </c>
      <c r="E37" s="957">
        <v>0</v>
      </c>
      <c r="F37" s="360">
        <v>0</v>
      </c>
    </row>
    <row r="38" spans="1:7" s="3" customFormat="1" ht="22.9" customHeight="1">
      <c r="A38" s="326"/>
      <c r="B38" s="375" t="s">
        <v>102</v>
      </c>
      <c r="C38" s="956">
        <f>SUM(C34:C37)</f>
        <v>3000</v>
      </c>
      <c r="D38" s="956">
        <f t="shared" ref="D38:F38" si="2">SUM(D34:D37)</f>
        <v>3000</v>
      </c>
      <c r="E38" s="956">
        <f t="shared" si="2"/>
        <v>0</v>
      </c>
      <c r="F38" s="791">
        <f t="shared" si="2"/>
        <v>0</v>
      </c>
    </row>
    <row r="39" spans="1:7" s="3" customFormat="1" ht="22.9" customHeight="1">
      <c r="A39" s="326"/>
      <c r="B39" s="906" t="s">
        <v>191</v>
      </c>
      <c r="C39" s="956">
        <v>0</v>
      </c>
      <c r="D39" s="956">
        <f>C39</f>
        <v>0</v>
      </c>
      <c r="E39" s="956">
        <v>0</v>
      </c>
      <c r="F39" s="791">
        <v>0</v>
      </c>
    </row>
    <row r="40" spans="1:7" s="3" customFormat="1" ht="22.9" customHeight="1">
      <c r="A40" s="326"/>
      <c r="B40" s="906" t="s">
        <v>16</v>
      </c>
      <c r="C40" s="956">
        <v>0</v>
      </c>
      <c r="D40" s="956">
        <v>0</v>
      </c>
      <c r="E40" s="956">
        <v>0</v>
      </c>
      <c r="F40" s="791">
        <v>0</v>
      </c>
    </row>
    <row r="41" spans="1:7" s="3" customFormat="1" ht="22.9" customHeight="1">
      <c r="A41" s="160"/>
      <c r="B41" s="779" t="s">
        <v>556</v>
      </c>
      <c r="C41" s="637">
        <f>SUM(C39:C40)</f>
        <v>0</v>
      </c>
      <c r="D41" s="637">
        <f>SUM(D39:D40)</f>
        <v>0</v>
      </c>
      <c r="E41" s="637">
        <f>SUM(E39:E40)</f>
        <v>0</v>
      </c>
      <c r="F41" s="791">
        <f>SUM(F39:F40)</f>
        <v>0</v>
      </c>
    </row>
    <row r="42" spans="1:7" s="3" customFormat="1" ht="28.9" customHeight="1">
      <c r="A42" s="154" t="s">
        <v>25</v>
      </c>
      <c r="B42" s="376" t="s">
        <v>45</v>
      </c>
      <c r="C42" s="1283"/>
      <c r="D42" s="1284"/>
      <c r="E42" s="1284"/>
      <c r="F42" s="1285"/>
    </row>
    <row r="43" spans="1:7" s="3" customFormat="1" ht="21" customHeight="1">
      <c r="A43" s="1129"/>
      <c r="B43" s="375" t="s">
        <v>6</v>
      </c>
      <c r="C43" s="956">
        <v>0</v>
      </c>
      <c r="D43" s="957">
        <v>0</v>
      </c>
      <c r="E43" s="957">
        <v>0</v>
      </c>
      <c r="F43" s="360">
        <v>0</v>
      </c>
    </row>
    <row r="44" spans="1:7" s="3" customFormat="1" ht="21" customHeight="1">
      <c r="A44" s="326"/>
      <c r="B44" s="375" t="s">
        <v>162</v>
      </c>
      <c r="C44" s="956">
        <v>0</v>
      </c>
      <c r="D44" s="957">
        <v>0</v>
      </c>
      <c r="E44" s="957">
        <v>0</v>
      </c>
      <c r="F44" s="360">
        <v>0</v>
      </c>
    </row>
    <row r="45" spans="1:7" s="3" customFormat="1" ht="21" customHeight="1">
      <c r="A45" s="326"/>
      <c r="B45" s="715" t="s">
        <v>78</v>
      </c>
      <c r="C45" s="956">
        <v>55000</v>
      </c>
      <c r="D45" s="956">
        <f>C45</f>
        <v>55000</v>
      </c>
      <c r="E45" s="957">
        <v>0</v>
      </c>
      <c r="F45" s="360">
        <v>0</v>
      </c>
    </row>
    <row r="46" spans="1:7" s="3" customFormat="1" ht="21" customHeight="1">
      <c r="A46" s="326"/>
      <c r="B46" s="377" t="s">
        <v>13</v>
      </c>
      <c r="C46" s="956">
        <v>0</v>
      </c>
      <c r="D46" s="956">
        <v>0</v>
      </c>
      <c r="E46" s="957">
        <v>0</v>
      </c>
      <c r="F46" s="360">
        <v>0</v>
      </c>
    </row>
    <row r="47" spans="1:7" s="10" customFormat="1" ht="22.9" customHeight="1">
      <c r="A47" s="1130"/>
      <c r="B47" s="1124" t="s">
        <v>102</v>
      </c>
      <c r="C47" s="1131">
        <f>SUM(C43:C46)</f>
        <v>55000</v>
      </c>
      <c r="D47" s="1125">
        <f t="shared" ref="D47:F47" si="3">SUM(D43:D46)</f>
        <v>55000</v>
      </c>
      <c r="E47" s="1125">
        <f t="shared" si="3"/>
        <v>0</v>
      </c>
      <c r="F47" s="1096">
        <f t="shared" si="3"/>
        <v>0</v>
      </c>
    </row>
    <row r="48" spans="1:7" s="3" customFormat="1" ht="22.9" customHeight="1">
      <c r="A48" s="326"/>
      <c r="B48" s="907" t="s">
        <v>191</v>
      </c>
      <c r="C48" s="956">
        <v>0</v>
      </c>
      <c r="D48" s="956">
        <v>0</v>
      </c>
      <c r="E48" s="956">
        <v>0</v>
      </c>
      <c r="F48" s="791">
        <v>0</v>
      </c>
    </row>
    <row r="49" spans="1:9" s="3" customFormat="1" ht="22.9" customHeight="1">
      <c r="A49" s="326"/>
      <c r="B49" s="906" t="s">
        <v>16</v>
      </c>
      <c r="C49" s="956">
        <v>0</v>
      </c>
      <c r="D49" s="956">
        <v>0</v>
      </c>
      <c r="E49" s="956">
        <v>0</v>
      </c>
      <c r="F49" s="791">
        <v>0</v>
      </c>
    </row>
    <row r="50" spans="1:9" s="10" customFormat="1" ht="22.9" customHeight="1">
      <c r="A50" s="1126"/>
      <c r="B50" s="778" t="s">
        <v>556</v>
      </c>
      <c r="C50" s="1125">
        <f>SUM(C48:C49)</f>
        <v>0</v>
      </c>
      <c r="D50" s="1125">
        <f>SUM(D48:D49)</f>
        <v>0</v>
      </c>
      <c r="E50" s="1125">
        <f>SUM(E48:E49)</f>
        <v>0</v>
      </c>
      <c r="F50" s="1096">
        <f>SUM(F48:F49)</f>
        <v>0</v>
      </c>
    </row>
    <row r="51" spans="1:9" s="3" customFormat="1" ht="25.9" customHeight="1">
      <c r="A51" s="156" t="s">
        <v>26</v>
      </c>
      <c r="B51" s="158" t="s">
        <v>46</v>
      </c>
      <c r="C51" s="1304"/>
      <c r="D51" s="1305"/>
      <c r="E51" s="1305"/>
      <c r="F51" s="1306"/>
    </row>
    <row r="52" spans="1:9" s="3" customFormat="1" ht="21" customHeight="1">
      <c r="A52" s="1129"/>
      <c r="B52" s="375" t="s">
        <v>6</v>
      </c>
      <c r="C52" s="956">
        <v>0</v>
      </c>
      <c r="D52" s="957">
        <v>0</v>
      </c>
      <c r="E52" s="957">
        <v>0</v>
      </c>
      <c r="F52" s="360">
        <v>0</v>
      </c>
    </row>
    <row r="53" spans="1:9" s="3" customFormat="1" ht="21" customHeight="1">
      <c r="A53" s="326"/>
      <c r="B53" s="375" t="s">
        <v>162</v>
      </c>
      <c r="C53" s="956">
        <v>0</v>
      </c>
      <c r="D53" s="957">
        <v>0</v>
      </c>
      <c r="E53" s="957">
        <v>0</v>
      </c>
      <c r="F53" s="360">
        <v>0</v>
      </c>
    </row>
    <row r="54" spans="1:9" s="3" customFormat="1" ht="25.5">
      <c r="A54" s="326"/>
      <c r="B54" s="715" t="s">
        <v>78</v>
      </c>
      <c r="C54" s="956">
        <f>12000-7741</f>
        <v>4259</v>
      </c>
      <c r="D54" s="956">
        <f>C54</f>
        <v>4259</v>
      </c>
      <c r="E54" s="957">
        <v>0</v>
      </c>
      <c r="F54" s="360">
        <v>0</v>
      </c>
      <c r="G54" s="410" t="s">
        <v>737</v>
      </c>
      <c r="I54" s="3" t="s">
        <v>771</v>
      </c>
    </row>
    <row r="55" spans="1:9" s="3" customFormat="1" ht="21" customHeight="1">
      <c r="A55" s="326"/>
      <c r="B55" s="375" t="s">
        <v>13</v>
      </c>
      <c r="C55" s="956">
        <v>0</v>
      </c>
      <c r="D55" s="956">
        <v>0</v>
      </c>
      <c r="E55" s="957">
        <v>0</v>
      </c>
      <c r="F55" s="360">
        <v>0</v>
      </c>
    </row>
    <row r="56" spans="1:9" s="10" customFormat="1" ht="21" customHeight="1">
      <c r="A56" s="1130"/>
      <c r="B56" s="1127" t="s">
        <v>102</v>
      </c>
      <c r="C56" s="1125">
        <f>SUM(C52:C55)</f>
        <v>4259</v>
      </c>
      <c r="D56" s="1125">
        <f t="shared" ref="D56:F56" si="4">SUM(D52:D55)</f>
        <v>4259</v>
      </c>
      <c r="E56" s="1125">
        <f t="shared" si="4"/>
        <v>0</v>
      </c>
      <c r="F56" s="1096">
        <f t="shared" si="4"/>
        <v>0</v>
      </c>
    </row>
    <row r="57" spans="1:9" s="3" customFormat="1" ht="21" customHeight="1">
      <c r="A57" s="326"/>
      <c r="B57" s="907" t="s">
        <v>191</v>
      </c>
      <c r="C57" s="956">
        <v>0</v>
      </c>
      <c r="D57" s="956">
        <v>0</v>
      </c>
      <c r="E57" s="956">
        <v>0</v>
      </c>
      <c r="F57" s="791">
        <v>0</v>
      </c>
    </row>
    <row r="58" spans="1:9" s="3" customFormat="1" ht="21" customHeight="1">
      <c r="A58" s="326"/>
      <c r="B58" s="906" t="s">
        <v>16</v>
      </c>
      <c r="C58" s="956">
        <v>0</v>
      </c>
      <c r="D58" s="956">
        <v>0</v>
      </c>
      <c r="E58" s="956">
        <v>0</v>
      </c>
      <c r="F58" s="791">
        <v>0</v>
      </c>
    </row>
    <row r="59" spans="1:9" s="10" customFormat="1" ht="21" customHeight="1">
      <c r="A59" s="1126"/>
      <c r="B59" s="778" t="s">
        <v>556</v>
      </c>
      <c r="C59" s="1125">
        <f>SUM(C57:C58)</f>
        <v>0</v>
      </c>
      <c r="D59" s="1125">
        <f>SUM(D57:D58)</f>
        <v>0</v>
      </c>
      <c r="E59" s="1125">
        <f>SUM(E57:E58)</f>
        <v>0</v>
      </c>
      <c r="F59" s="1096">
        <f>SUM(F57:F58)</f>
        <v>0</v>
      </c>
    </row>
    <row r="60" spans="1:9" s="3" customFormat="1" ht="25.9" customHeight="1">
      <c r="A60" s="154" t="s">
        <v>27</v>
      </c>
      <c r="B60" s="376" t="s">
        <v>47</v>
      </c>
      <c r="C60" s="1283"/>
      <c r="D60" s="1284"/>
      <c r="E60" s="1284"/>
      <c r="F60" s="1285"/>
    </row>
    <row r="61" spans="1:9" s="3" customFormat="1" ht="21" customHeight="1">
      <c r="A61" s="457"/>
      <c r="B61" s="375" t="s">
        <v>6</v>
      </c>
      <c r="C61" s="956">
        <v>0</v>
      </c>
      <c r="D61" s="957">
        <v>0</v>
      </c>
      <c r="E61" s="957">
        <v>0</v>
      </c>
      <c r="F61" s="360">
        <v>0</v>
      </c>
    </row>
    <row r="62" spans="1:9" s="3" customFormat="1" ht="21" customHeight="1">
      <c r="A62" s="326"/>
      <c r="B62" s="375" t="s">
        <v>162</v>
      </c>
      <c r="C62" s="956">
        <v>0</v>
      </c>
      <c r="D62" s="957">
        <v>0</v>
      </c>
      <c r="E62" s="957">
        <v>0</v>
      </c>
      <c r="F62" s="360">
        <v>0</v>
      </c>
    </row>
    <row r="63" spans="1:9" s="3" customFormat="1" ht="51">
      <c r="A63" s="326"/>
      <c r="B63" s="715" t="s">
        <v>78</v>
      </c>
      <c r="C63" s="956">
        <v>1000</v>
      </c>
      <c r="D63" s="956">
        <f>C63</f>
        <v>1000</v>
      </c>
      <c r="E63" s="957">
        <v>0</v>
      </c>
      <c r="F63" s="360">
        <v>0</v>
      </c>
      <c r="G63" s="410" t="s">
        <v>759</v>
      </c>
      <c r="H63" s="3">
        <f>12700+17000+12065+600+500+2500</f>
        <v>45365</v>
      </c>
      <c r="I63" s="3" t="s">
        <v>761</v>
      </c>
    </row>
    <row r="64" spans="1:9" s="3" customFormat="1" ht="15">
      <c r="A64" s="326"/>
      <c r="B64" s="375" t="s">
        <v>13</v>
      </c>
      <c r="C64" s="956">
        <v>0</v>
      </c>
      <c r="D64" s="956">
        <v>0</v>
      </c>
      <c r="E64" s="957">
        <v>0</v>
      </c>
      <c r="F64" s="360">
        <v>0</v>
      </c>
    </row>
    <row r="65" spans="1:6" s="10" customFormat="1" ht="21" customHeight="1">
      <c r="A65" s="1130"/>
      <c r="B65" s="1124" t="s">
        <v>102</v>
      </c>
      <c r="C65" s="1132">
        <f>SUM(C61:C64)</f>
        <v>1000</v>
      </c>
      <c r="D65" s="1132">
        <f t="shared" ref="D65:F65" si="5">SUM(D61:D64)</f>
        <v>1000</v>
      </c>
      <c r="E65" s="1132">
        <f t="shared" si="5"/>
        <v>0</v>
      </c>
      <c r="F65" s="1133">
        <f t="shared" si="5"/>
        <v>0</v>
      </c>
    </row>
    <row r="66" spans="1:6" s="3" customFormat="1" ht="21" customHeight="1">
      <c r="A66" s="905"/>
      <c r="B66" s="907" t="s">
        <v>191</v>
      </c>
      <c r="C66" s="956">
        <v>0</v>
      </c>
      <c r="D66" s="956">
        <v>0</v>
      </c>
      <c r="E66" s="956">
        <v>0</v>
      </c>
      <c r="F66" s="791">
        <v>0</v>
      </c>
    </row>
    <row r="67" spans="1:6" s="3" customFormat="1" ht="21" customHeight="1">
      <c r="A67" s="905"/>
      <c r="B67" s="906" t="s">
        <v>16</v>
      </c>
      <c r="C67" s="956">
        <v>0</v>
      </c>
      <c r="D67" s="956">
        <v>0</v>
      </c>
      <c r="E67" s="956">
        <v>0</v>
      </c>
      <c r="F67" s="791">
        <v>0</v>
      </c>
    </row>
    <row r="68" spans="1:6" s="10" customFormat="1" ht="21" customHeight="1">
      <c r="A68" s="986"/>
      <c r="B68" s="778" t="s">
        <v>556</v>
      </c>
      <c r="C68" s="1125">
        <f>SUM(C66:C67)</f>
        <v>0</v>
      </c>
      <c r="D68" s="1125">
        <f>SUM(D66:D67)</f>
        <v>0</v>
      </c>
      <c r="E68" s="1125">
        <f>SUM(E66:E67)</f>
        <v>0</v>
      </c>
      <c r="F68" s="1096">
        <f>SUM(F66:F67)</f>
        <v>0</v>
      </c>
    </row>
    <row r="69" spans="1:6" s="10" customFormat="1" ht="21" customHeight="1">
      <c r="A69" s="154" t="s">
        <v>28</v>
      </c>
      <c r="B69" s="376" t="s">
        <v>44</v>
      </c>
      <c r="C69" s="1283"/>
      <c r="D69" s="1284"/>
      <c r="E69" s="1284"/>
      <c r="F69" s="1285"/>
    </row>
    <row r="70" spans="1:6" s="10" customFormat="1" ht="21" customHeight="1">
      <c r="A70" s="1129"/>
      <c r="B70" s="375" t="s">
        <v>6</v>
      </c>
      <c r="C70" s="959">
        <v>1500</v>
      </c>
      <c r="D70" s="957">
        <v>0</v>
      </c>
      <c r="E70" s="957">
        <f>C70</f>
        <v>1500</v>
      </c>
      <c r="F70" s="360">
        <v>0</v>
      </c>
    </row>
    <row r="71" spans="1:6" s="10" customFormat="1" ht="21" customHeight="1">
      <c r="A71" s="326"/>
      <c r="B71" s="375" t="s">
        <v>162</v>
      </c>
      <c r="C71" s="959">
        <v>675</v>
      </c>
      <c r="D71" s="957">
        <v>0</v>
      </c>
      <c r="E71" s="957">
        <f>C71</f>
        <v>675</v>
      </c>
      <c r="F71" s="360">
        <v>0</v>
      </c>
    </row>
    <row r="72" spans="1:6" s="10" customFormat="1" ht="21" customHeight="1">
      <c r="A72" s="712"/>
      <c r="B72" s="716" t="s">
        <v>78</v>
      </c>
      <c r="C72" s="959">
        <f>100615-4318</f>
        <v>96297</v>
      </c>
      <c r="D72" s="959">
        <f>C72*0.75-0.5</f>
        <v>72222.25</v>
      </c>
      <c r="E72" s="993">
        <f>C72-D72</f>
        <v>24074.75</v>
      </c>
      <c r="F72" s="360">
        <v>0</v>
      </c>
    </row>
    <row r="73" spans="1:6" s="10" customFormat="1" ht="21" customHeight="1">
      <c r="A73" s="326"/>
      <c r="B73" s="375" t="s">
        <v>13</v>
      </c>
      <c r="C73" s="956">
        <v>0</v>
      </c>
      <c r="D73" s="956">
        <v>0</v>
      </c>
      <c r="E73" s="957">
        <v>0</v>
      </c>
      <c r="F73" s="360">
        <v>0</v>
      </c>
    </row>
    <row r="74" spans="1:6" s="10" customFormat="1" ht="21" customHeight="1">
      <c r="A74" s="1130"/>
      <c r="B74" s="1127" t="s">
        <v>102</v>
      </c>
      <c r="C74" s="1125">
        <f>SUM(C70:C73)</f>
        <v>98472</v>
      </c>
      <c r="D74" s="1125">
        <f t="shared" ref="D74:F74" si="6">SUM(D70:D73)</f>
        <v>72222.25</v>
      </c>
      <c r="E74" s="1125">
        <f t="shared" si="6"/>
        <v>26249.75</v>
      </c>
      <c r="F74" s="1096">
        <f t="shared" si="6"/>
        <v>0</v>
      </c>
    </row>
    <row r="75" spans="1:6" s="10" customFormat="1" ht="21" customHeight="1">
      <c r="A75" s="326"/>
      <c r="B75" s="906" t="s">
        <v>191</v>
      </c>
      <c r="C75" s="956">
        <v>0</v>
      </c>
      <c r="D75" s="956">
        <v>0</v>
      </c>
      <c r="E75" s="956">
        <v>0</v>
      </c>
      <c r="F75" s="791">
        <v>0</v>
      </c>
    </row>
    <row r="76" spans="1:6" s="10" customFormat="1" ht="21" customHeight="1">
      <c r="A76" s="326"/>
      <c r="B76" s="906" t="s">
        <v>16</v>
      </c>
      <c r="C76" s="956">
        <v>0</v>
      </c>
      <c r="D76" s="956">
        <v>0</v>
      </c>
      <c r="E76" s="956">
        <v>0</v>
      </c>
      <c r="F76" s="791">
        <v>0</v>
      </c>
    </row>
    <row r="77" spans="1:6" s="10" customFormat="1" ht="21" customHeight="1">
      <c r="A77" s="1126"/>
      <c r="B77" s="778" t="s">
        <v>556</v>
      </c>
      <c r="C77" s="634">
        <f>SUM(C75:C76)</f>
        <v>0</v>
      </c>
      <c r="D77" s="634">
        <f>SUM(D75:D76)</f>
        <v>0</v>
      </c>
      <c r="E77" s="634">
        <f>SUM(E75:E76)</f>
        <v>0</v>
      </c>
      <c r="F77" s="1096">
        <f>SUM(F75:F76)</f>
        <v>0</v>
      </c>
    </row>
    <row r="78" spans="1:6" s="283" customFormat="1" ht="33" customHeight="1" thickBot="1">
      <c r="A78" s="919" t="s">
        <v>139</v>
      </c>
      <c r="B78" s="853" t="s">
        <v>48</v>
      </c>
      <c r="C78" s="1289"/>
      <c r="D78" s="1290"/>
      <c r="E78" s="1290"/>
      <c r="F78" s="1291"/>
    </row>
    <row r="79" spans="1:6" s="3" customFormat="1" ht="25.9" customHeight="1">
      <c r="A79" s="156" t="s">
        <v>21</v>
      </c>
      <c r="B79" s="158" t="s">
        <v>49</v>
      </c>
      <c r="C79" s="1277"/>
      <c r="D79" s="1278"/>
      <c r="E79" s="1278"/>
      <c r="F79" s="1279"/>
    </row>
    <row r="80" spans="1:6" s="3" customFormat="1" ht="21" customHeight="1">
      <c r="A80" s="1129"/>
      <c r="B80" s="375" t="s">
        <v>6</v>
      </c>
      <c r="C80" s="956">
        <v>0</v>
      </c>
      <c r="D80" s="957">
        <v>0</v>
      </c>
      <c r="E80" s="957">
        <v>0</v>
      </c>
      <c r="F80" s="360">
        <v>0</v>
      </c>
    </row>
    <row r="81" spans="1:7" s="3" customFormat="1" ht="21" customHeight="1">
      <c r="A81" s="326"/>
      <c r="B81" s="375" t="s">
        <v>162</v>
      </c>
      <c r="C81" s="956">
        <v>0</v>
      </c>
      <c r="D81" s="957">
        <v>0</v>
      </c>
      <c r="E81" s="957">
        <v>0</v>
      </c>
      <c r="F81" s="360">
        <v>0</v>
      </c>
    </row>
    <row r="82" spans="1:7" s="3" customFormat="1" ht="25.5">
      <c r="A82" s="326"/>
      <c r="B82" s="715" t="s">
        <v>78</v>
      </c>
      <c r="C82" s="1079">
        <v>63000</v>
      </c>
      <c r="D82" s="957">
        <v>0</v>
      </c>
      <c r="E82" s="957">
        <f>C82</f>
        <v>63000</v>
      </c>
      <c r="F82" s="360">
        <v>0</v>
      </c>
      <c r="G82" s="410" t="s">
        <v>736</v>
      </c>
    </row>
    <row r="83" spans="1:7" s="3" customFormat="1" ht="21" customHeight="1">
      <c r="A83" s="326"/>
      <c r="B83" s="375" t="s">
        <v>13</v>
      </c>
      <c r="C83" s="956">
        <v>0</v>
      </c>
      <c r="D83" s="957">
        <v>0</v>
      </c>
      <c r="E83" s="957">
        <v>0</v>
      </c>
      <c r="F83" s="360">
        <v>0</v>
      </c>
    </row>
    <row r="84" spans="1:7" s="10" customFormat="1" ht="21" customHeight="1">
      <c r="A84" s="1130"/>
      <c r="B84" s="1127" t="s">
        <v>102</v>
      </c>
      <c r="C84" s="1125">
        <f>SUM(C80:C83)</f>
        <v>63000</v>
      </c>
      <c r="D84" s="1125">
        <f t="shared" ref="D84:F84" si="7">SUM(D80:D83)</f>
        <v>0</v>
      </c>
      <c r="E84" s="1125">
        <f t="shared" si="7"/>
        <v>63000</v>
      </c>
      <c r="F84" s="1096">
        <f t="shared" si="7"/>
        <v>0</v>
      </c>
    </row>
    <row r="85" spans="1:7" s="3" customFormat="1" ht="21" customHeight="1">
      <c r="A85" s="326"/>
      <c r="B85" s="907" t="s">
        <v>191</v>
      </c>
      <c r="C85" s="956">
        <v>0</v>
      </c>
      <c r="D85" s="956">
        <v>0</v>
      </c>
      <c r="E85" s="956">
        <v>0</v>
      </c>
      <c r="F85" s="1082">
        <v>0</v>
      </c>
    </row>
    <row r="86" spans="1:7" s="3" customFormat="1" ht="21" customHeight="1">
      <c r="A86" s="326"/>
      <c r="B86" s="906" t="s">
        <v>16</v>
      </c>
      <c r="C86" s="956">
        <v>35000</v>
      </c>
      <c r="D86" s="956">
        <f>'9'!D48</f>
        <v>0</v>
      </c>
      <c r="E86" s="956">
        <v>35000</v>
      </c>
      <c r="F86" s="1082">
        <v>0</v>
      </c>
    </row>
    <row r="87" spans="1:7" s="10" customFormat="1" ht="21" customHeight="1">
      <c r="A87" s="1126"/>
      <c r="B87" s="778" t="s">
        <v>556</v>
      </c>
      <c r="C87" s="634">
        <f>SUM(C85:C86)</f>
        <v>35000</v>
      </c>
      <c r="D87" s="634">
        <f>SUM(D85:D86)</f>
        <v>0</v>
      </c>
      <c r="E87" s="634">
        <f>SUM(E85:E86)</f>
        <v>35000</v>
      </c>
      <c r="F87" s="1096">
        <f>SUM(F85:F86)</f>
        <v>0</v>
      </c>
    </row>
    <row r="88" spans="1:7" s="3" customFormat="1" ht="25.9" customHeight="1">
      <c r="A88" s="154" t="s">
        <v>22</v>
      </c>
      <c r="B88" s="376" t="s">
        <v>50</v>
      </c>
      <c r="C88" s="1283"/>
      <c r="D88" s="1284"/>
      <c r="E88" s="1284"/>
      <c r="F88" s="1285"/>
    </row>
    <row r="89" spans="1:7" s="3" customFormat="1" ht="21" customHeight="1">
      <c r="A89" s="457"/>
      <c r="B89" s="375" t="s">
        <v>6</v>
      </c>
      <c r="C89" s="956">
        <v>0</v>
      </c>
      <c r="D89" s="956">
        <v>0</v>
      </c>
      <c r="E89" s="957">
        <v>0</v>
      </c>
      <c r="F89" s="360">
        <v>0</v>
      </c>
    </row>
    <row r="90" spans="1:7" s="3" customFormat="1" ht="21" customHeight="1">
      <c r="A90" s="326"/>
      <c r="B90" s="375" t="s">
        <v>162</v>
      </c>
      <c r="C90" s="956">
        <v>0</v>
      </c>
      <c r="D90" s="956">
        <v>0</v>
      </c>
      <c r="E90" s="957">
        <v>0</v>
      </c>
      <c r="F90" s="360">
        <v>0</v>
      </c>
    </row>
    <row r="91" spans="1:7" s="3" customFormat="1" ht="27" customHeight="1">
      <c r="A91" s="326"/>
      <c r="B91" s="715" t="s">
        <v>78</v>
      </c>
      <c r="C91" s="956">
        <v>23000</v>
      </c>
      <c r="D91" s="956">
        <f>C91</f>
        <v>23000</v>
      </c>
      <c r="E91" s="957">
        <v>0</v>
      </c>
      <c r="F91" s="360">
        <v>0</v>
      </c>
    </row>
    <row r="92" spans="1:7" s="3" customFormat="1" ht="21" customHeight="1">
      <c r="A92" s="326"/>
      <c r="B92" s="375" t="s">
        <v>13</v>
      </c>
      <c r="C92" s="956">
        <v>0</v>
      </c>
      <c r="D92" s="956">
        <v>0</v>
      </c>
      <c r="E92" s="957">
        <v>0</v>
      </c>
      <c r="F92" s="360">
        <v>0</v>
      </c>
    </row>
    <row r="93" spans="1:7" s="10" customFormat="1" ht="21" customHeight="1">
      <c r="A93" s="1130"/>
      <c r="B93" s="1134" t="s">
        <v>102</v>
      </c>
      <c r="C93" s="1132">
        <f>SUM(C89:C92)</f>
        <v>23000</v>
      </c>
      <c r="D93" s="1132">
        <f t="shared" ref="D93:F93" si="8">SUM(D89:D92)</f>
        <v>23000</v>
      </c>
      <c r="E93" s="1132">
        <f t="shared" si="8"/>
        <v>0</v>
      </c>
      <c r="F93" s="1133">
        <f t="shared" si="8"/>
        <v>0</v>
      </c>
    </row>
    <row r="94" spans="1:7" s="3" customFormat="1" ht="21" customHeight="1">
      <c r="A94" s="905"/>
      <c r="B94" s="906" t="s">
        <v>191</v>
      </c>
      <c r="C94" s="956">
        <v>0</v>
      </c>
      <c r="D94" s="956">
        <v>0</v>
      </c>
      <c r="E94" s="956">
        <v>0</v>
      </c>
      <c r="F94" s="1082">
        <v>0</v>
      </c>
    </row>
    <row r="95" spans="1:7" s="3" customFormat="1" ht="21" customHeight="1">
      <c r="A95" s="905"/>
      <c r="B95" s="906" t="s">
        <v>16</v>
      </c>
      <c r="C95" s="956">
        <v>0</v>
      </c>
      <c r="D95" s="956">
        <v>0</v>
      </c>
      <c r="E95" s="956">
        <v>0</v>
      </c>
      <c r="F95" s="1082">
        <v>0</v>
      </c>
    </row>
    <row r="96" spans="1:7" s="10" customFormat="1" ht="21" customHeight="1">
      <c r="A96" s="1126"/>
      <c r="B96" s="778" t="s">
        <v>556</v>
      </c>
      <c r="C96" s="634">
        <f>SUM(C94:C95)</f>
        <v>0</v>
      </c>
      <c r="D96" s="634">
        <f>SUM(D94:D95)</f>
        <v>0</v>
      </c>
      <c r="E96" s="634">
        <f>SUM(E94:E95)</f>
        <v>0</v>
      </c>
      <c r="F96" s="1096">
        <f>SUM(F94:F95)</f>
        <v>0</v>
      </c>
    </row>
    <row r="97" spans="1:7" s="284" customFormat="1" ht="33" customHeight="1" thickBot="1">
      <c r="A97" s="852" t="s">
        <v>140</v>
      </c>
      <c r="B97" s="853" t="s">
        <v>51</v>
      </c>
      <c r="C97" s="1289"/>
      <c r="D97" s="1290"/>
      <c r="E97" s="1290"/>
      <c r="F97" s="1291"/>
    </row>
    <row r="98" spans="1:7" s="3" customFormat="1" ht="25.9" customHeight="1">
      <c r="A98" s="156" t="s">
        <v>21</v>
      </c>
      <c r="B98" s="158" t="s">
        <v>346</v>
      </c>
      <c r="C98" s="1307"/>
      <c r="D98" s="1308"/>
      <c r="E98" s="1308"/>
      <c r="F98" s="1309"/>
    </row>
    <row r="99" spans="1:7" s="3" customFormat="1" ht="21" customHeight="1">
      <c r="A99" s="1129"/>
      <c r="B99" s="375" t="s">
        <v>6</v>
      </c>
      <c r="C99" s="956">
        <v>0</v>
      </c>
      <c r="D99" s="957">
        <v>0</v>
      </c>
      <c r="E99" s="957">
        <v>0</v>
      </c>
      <c r="F99" s="360">
        <v>0</v>
      </c>
    </row>
    <row r="100" spans="1:7" s="3" customFormat="1" ht="21" customHeight="1">
      <c r="A100" s="326"/>
      <c r="B100" s="375" t="s">
        <v>162</v>
      </c>
      <c r="C100" s="956">
        <v>0</v>
      </c>
      <c r="D100" s="957">
        <v>0</v>
      </c>
      <c r="E100" s="957">
        <v>0</v>
      </c>
      <c r="F100" s="360">
        <v>0</v>
      </c>
    </row>
    <row r="101" spans="1:7" s="3" customFormat="1" ht="21" customHeight="1">
      <c r="A101" s="326"/>
      <c r="B101" s="375" t="s">
        <v>78</v>
      </c>
      <c r="C101" s="956">
        <v>0</v>
      </c>
      <c r="D101" s="957">
        <v>0</v>
      </c>
      <c r="E101" s="957">
        <v>0</v>
      </c>
      <c r="F101" s="360">
        <v>0</v>
      </c>
    </row>
    <row r="102" spans="1:7" s="3" customFormat="1" ht="21" customHeight="1">
      <c r="A102" s="326"/>
      <c r="B102" s="375" t="s">
        <v>13</v>
      </c>
      <c r="C102" s="956">
        <v>0</v>
      </c>
      <c r="D102" s="957">
        <v>0</v>
      </c>
      <c r="E102" s="957">
        <v>0</v>
      </c>
      <c r="F102" s="360">
        <v>0</v>
      </c>
    </row>
    <row r="103" spans="1:7" s="10" customFormat="1" ht="21" customHeight="1">
      <c r="A103" s="1130"/>
      <c r="B103" s="1127" t="s">
        <v>102</v>
      </c>
      <c r="C103" s="1125">
        <f>SUM(C99:C102)</f>
        <v>0</v>
      </c>
      <c r="D103" s="1125">
        <f t="shared" ref="D103:F103" si="9">SUM(D99:D102)</f>
        <v>0</v>
      </c>
      <c r="E103" s="1125">
        <f t="shared" si="9"/>
        <v>0</v>
      </c>
      <c r="F103" s="1096">
        <f t="shared" si="9"/>
        <v>0</v>
      </c>
    </row>
    <row r="104" spans="1:7" s="3" customFormat="1" ht="21" customHeight="1">
      <c r="A104" s="326"/>
      <c r="B104" s="906" t="s">
        <v>191</v>
      </c>
      <c r="C104" s="956">
        <v>0</v>
      </c>
      <c r="D104" s="956">
        <v>0</v>
      </c>
      <c r="E104" s="956">
        <v>0</v>
      </c>
      <c r="F104" s="1082">
        <v>0</v>
      </c>
    </row>
    <row r="105" spans="1:7" s="3" customFormat="1" ht="21" customHeight="1">
      <c r="A105" s="326"/>
      <c r="B105" s="906" t="s">
        <v>16</v>
      </c>
      <c r="C105" s="956">
        <v>0</v>
      </c>
      <c r="D105" s="956">
        <v>0</v>
      </c>
      <c r="E105" s="956">
        <v>0</v>
      </c>
      <c r="F105" s="1082">
        <v>0</v>
      </c>
    </row>
    <row r="106" spans="1:7" s="10" customFormat="1" ht="21" customHeight="1">
      <c r="A106" s="1126"/>
      <c r="B106" s="778" t="s">
        <v>556</v>
      </c>
      <c r="C106" s="634">
        <f>SUM(C104:C105)</f>
        <v>0</v>
      </c>
      <c r="D106" s="634">
        <f>SUM(D104:D105)</f>
        <v>0</v>
      </c>
      <c r="E106" s="634">
        <f>SUM(E104:E105)</f>
        <v>0</v>
      </c>
      <c r="F106" s="1096">
        <f>SUM(F104:F105)</f>
        <v>0</v>
      </c>
    </row>
    <row r="107" spans="1:7" s="3" customFormat="1" ht="25.15" customHeight="1">
      <c r="A107" s="154" t="s">
        <v>22</v>
      </c>
      <c r="B107" s="376" t="s">
        <v>52</v>
      </c>
      <c r="C107" s="1312"/>
      <c r="D107" s="1313"/>
      <c r="E107" s="1313"/>
      <c r="F107" s="1314"/>
    </row>
    <row r="108" spans="1:7" s="3" customFormat="1" ht="21" customHeight="1">
      <c r="A108" s="457"/>
      <c r="B108" s="375" t="s">
        <v>6</v>
      </c>
      <c r="C108" s="956">
        <v>0</v>
      </c>
      <c r="D108" s="957">
        <v>0</v>
      </c>
      <c r="E108" s="957">
        <v>0</v>
      </c>
      <c r="F108" s="360">
        <v>0</v>
      </c>
    </row>
    <row r="109" spans="1:7" s="3" customFormat="1" ht="21" customHeight="1">
      <c r="A109" s="326"/>
      <c r="B109" s="375" t="s">
        <v>162</v>
      </c>
      <c r="C109" s="956">
        <v>0</v>
      </c>
      <c r="D109" s="957">
        <v>0</v>
      </c>
      <c r="E109" s="957">
        <v>0</v>
      </c>
      <c r="F109" s="360">
        <v>0</v>
      </c>
    </row>
    <row r="110" spans="1:7" s="3" customFormat="1" ht="15">
      <c r="A110" s="326"/>
      <c r="B110" s="715" t="s">
        <v>78</v>
      </c>
      <c r="C110" s="956">
        <v>36000</v>
      </c>
      <c r="D110" s="956">
        <f>C110</f>
        <v>36000</v>
      </c>
      <c r="E110" s="956">
        <v>0</v>
      </c>
      <c r="F110" s="360">
        <v>0</v>
      </c>
      <c r="G110" s="410" t="s">
        <v>717</v>
      </c>
    </row>
    <row r="111" spans="1:7" s="3" customFormat="1" ht="21" customHeight="1">
      <c r="A111" s="326"/>
      <c r="B111" s="375" t="s">
        <v>13</v>
      </c>
      <c r="C111" s="956">
        <v>0</v>
      </c>
      <c r="D111" s="956">
        <v>0</v>
      </c>
      <c r="E111" s="957">
        <v>0</v>
      </c>
      <c r="F111" s="360">
        <v>0</v>
      </c>
    </row>
    <row r="112" spans="1:7" s="10" customFormat="1" ht="21" customHeight="1">
      <c r="A112" s="1130"/>
      <c r="B112" s="1134" t="s">
        <v>102</v>
      </c>
      <c r="C112" s="1132">
        <f>SUM(C108:C111)</f>
        <v>36000</v>
      </c>
      <c r="D112" s="1132">
        <f>SUM(D108:D111)</f>
        <v>36000</v>
      </c>
      <c r="E112" s="1132">
        <f t="shared" ref="E112:F112" si="10">SUM(E108:E111)</f>
        <v>0</v>
      </c>
      <c r="F112" s="1133">
        <f t="shared" si="10"/>
        <v>0</v>
      </c>
    </row>
    <row r="113" spans="1:89" s="3" customFormat="1" ht="21" customHeight="1">
      <c r="A113" s="905"/>
      <c r="B113" s="906" t="s">
        <v>191</v>
      </c>
      <c r="C113" s="956">
        <v>0</v>
      </c>
      <c r="D113" s="956">
        <v>0</v>
      </c>
      <c r="E113" s="956">
        <v>0</v>
      </c>
      <c r="F113" s="791">
        <v>0</v>
      </c>
    </row>
    <row r="114" spans="1:89" s="3" customFormat="1" ht="21" customHeight="1">
      <c r="A114" s="905"/>
      <c r="B114" s="906" t="s">
        <v>16</v>
      </c>
      <c r="C114" s="956">
        <v>0</v>
      </c>
      <c r="D114" s="956">
        <v>0</v>
      </c>
      <c r="E114" s="956">
        <v>0</v>
      </c>
      <c r="F114" s="791">
        <v>0</v>
      </c>
    </row>
    <row r="115" spans="1:89" s="10" customFormat="1" ht="21" customHeight="1">
      <c r="A115" s="986"/>
      <c r="B115" s="778" t="s">
        <v>556</v>
      </c>
      <c r="C115" s="1125">
        <f>SUM(C113:C114)</f>
        <v>0</v>
      </c>
      <c r="D115" s="1125">
        <f>SUM(D113:D114)</f>
        <v>0</v>
      </c>
      <c r="E115" s="1125">
        <f>SUM(E113:E114)</f>
        <v>0</v>
      </c>
      <c r="F115" s="1096">
        <f>SUM(F113:F114)</f>
        <v>0</v>
      </c>
    </row>
    <row r="116" spans="1:89" s="3" customFormat="1" ht="25.15" customHeight="1">
      <c r="A116" s="154" t="s">
        <v>23</v>
      </c>
      <c r="B116" s="158" t="s">
        <v>53</v>
      </c>
      <c r="C116" s="1292"/>
      <c r="D116" s="1293"/>
      <c r="E116" s="1293"/>
      <c r="F116" s="1294"/>
    </row>
    <row r="117" spans="1:89" s="3" customFormat="1" ht="20.100000000000001" customHeight="1">
      <c r="A117" s="457"/>
      <c r="B117" s="375" t="s">
        <v>6</v>
      </c>
      <c r="C117" s="956">
        <v>0</v>
      </c>
      <c r="D117" s="957">
        <v>0</v>
      </c>
      <c r="E117" s="957">
        <v>0</v>
      </c>
      <c r="F117" s="360">
        <v>0</v>
      </c>
    </row>
    <row r="118" spans="1:89" s="3" customFormat="1" ht="20.100000000000001" customHeight="1">
      <c r="A118" s="326"/>
      <c r="B118" s="375" t="s">
        <v>162</v>
      </c>
      <c r="C118" s="956">
        <v>0</v>
      </c>
      <c r="D118" s="957">
        <v>0</v>
      </c>
      <c r="E118" s="957">
        <v>0</v>
      </c>
      <c r="F118" s="360">
        <v>0</v>
      </c>
    </row>
    <row r="119" spans="1:89" s="3" customFormat="1" ht="47.25" customHeight="1">
      <c r="A119" s="326"/>
      <c r="B119" s="715" t="s">
        <v>78</v>
      </c>
      <c r="C119" s="956">
        <v>7000</v>
      </c>
      <c r="D119" s="956">
        <v>7000</v>
      </c>
      <c r="E119" s="957">
        <v>0</v>
      </c>
      <c r="F119" s="360">
        <v>0</v>
      </c>
      <c r="G119" s="410" t="s">
        <v>711</v>
      </c>
    </row>
    <row r="120" spans="1:89" s="3" customFormat="1" ht="20.100000000000001" customHeight="1">
      <c r="A120" s="326"/>
      <c r="B120" s="715" t="s">
        <v>13</v>
      </c>
      <c r="C120" s="956">
        <f>'13'!C12</f>
        <v>38700</v>
      </c>
      <c r="D120" s="956">
        <f>'13'!H12</f>
        <v>9500</v>
      </c>
      <c r="E120" s="956">
        <f>'13'!I12</f>
        <v>29200</v>
      </c>
      <c r="F120" s="791">
        <f>'13'!J12</f>
        <v>0</v>
      </c>
    </row>
    <row r="121" spans="1:89" s="3" customFormat="1" ht="21" customHeight="1">
      <c r="A121" s="326"/>
      <c r="B121" s="377" t="s">
        <v>102</v>
      </c>
      <c r="C121" s="958">
        <f>SUM(C117:C120)</f>
        <v>45700</v>
      </c>
      <c r="D121" s="958">
        <f t="shared" ref="D121:F121" si="11">SUM(D117:D120)</f>
        <v>16500</v>
      </c>
      <c r="E121" s="958">
        <f t="shared" si="11"/>
        <v>29200</v>
      </c>
      <c r="F121" s="1083">
        <f t="shared" si="11"/>
        <v>0</v>
      </c>
    </row>
    <row r="122" spans="1:89" s="3" customFormat="1" ht="21" customHeight="1">
      <c r="A122" s="905"/>
      <c r="B122" s="906" t="s">
        <v>191</v>
      </c>
      <c r="C122" s="956">
        <v>0</v>
      </c>
      <c r="D122" s="956">
        <v>0</v>
      </c>
      <c r="E122" s="956">
        <v>0</v>
      </c>
      <c r="F122" s="791">
        <v>0</v>
      </c>
    </row>
    <row r="123" spans="1:89" s="3" customFormat="1" ht="21" customHeight="1">
      <c r="A123" s="905"/>
      <c r="B123" s="906" t="s">
        <v>16</v>
      </c>
      <c r="C123" s="956">
        <v>0</v>
      </c>
      <c r="D123" s="956">
        <v>0</v>
      </c>
      <c r="E123" s="956">
        <v>0</v>
      </c>
      <c r="F123" s="791">
        <v>0</v>
      </c>
    </row>
    <row r="124" spans="1:89" s="3" customFormat="1" ht="21" customHeight="1">
      <c r="A124" s="160"/>
      <c r="B124" s="779" t="s">
        <v>556</v>
      </c>
      <c r="C124" s="956">
        <f>SUM(C122:C123)</f>
        <v>0</v>
      </c>
      <c r="D124" s="956">
        <f>SUM(D122:D123)</f>
        <v>0</v>
      </c>
      <c r="E124" s="956">
        <f>SUM(E122:E123)</f>
        <v>0</v>
      </c>
      <c r="F124" s="791">
        <f>SUM(F122:F123)</f>
        <v>0</v>
      </c>
    </row>
    <row r="125" spans="1:89" s="285" customFormat="1" ht="33" customHeight="1" thickBot="1">
      <c r="A125" s="852" t="s">
        <v>141</v>
      </c>
      <c r="B125" s="853" t="s">
        <v>56</v>
      </c>
      <c r="C125" s="1289"/>
      <c r="D125" s="1290"/>
      <c r="E125" s="1290"/>
      <c r="F125" s="1291"/>
      <c r="G125" s="283"/>
      <c r="H125" s="283"/>
      <c r="I125" s="283"/>
      <c r="J125" s="283"/>
      <c r="K125" s="283"/>
      <c r="L125" s="283"/>
      <c r="M125" s="283"/>
      <c r="N125" s="283"/>
      <c r="O125" s="283"/>
      <c r="P125" s="283"/>
      <c r="Q125" s="283"/>
      <c r="R125" s="283"/>
      <c r="S125" s="283"/>
      <c r="T125" s="283"/>
      <c r="U125" s="283"/>
      <c r="V125" s="283"/>
      <c r="W125" s="283"/>
      <c r="X125" s="283"/>
      <c r="Y125" s="283"/>
      <c r="Z125" s="283"/>
      <c r="AA125" s="283"/>
      <c r="AB125" s="283"/>
      <c r="AC125" s="283"/>
      <c r="AD125" s="283"/>
      <c r="AE125" s="283"/>
      <c r="AF125" s="283"/>
      <c r="AG125" s="283"/>
      <c r="AH125" s="283"/>
      <c r="AI125" s="283"/>
      <c r="AJ125" s="283"/>
      <c r="AK125" s="283"/>
      <c r="AL125" s="283"/>
      <c r="AM125" s="283"/>
      <c r="AN125" s="283"/>
      <c r="AO125" s="283"/>
      <c r="AP125" s="283"/>
      <c r="AQ125" s="283"/>
      <c r="AR125" s="283"/>
      <c r="AS125" s="283"/>
      <c r="AT125" s="283"/>
      <c r="AU125" s="283"/>
      <c r="AV125" s="283"/>
      <c r="AW125" s="283"/>
      <c r="AX125" s="283"/>
      <c r="AY125" s="283"/>
      <c r="AZ125" s="283"/>
      <c r="BA125" s="283"/>
      <c r="BB125" s="283"/>
      <c r="BC125" s="283"/>
      <c r="BD125" s="283"/>
      <c r="BE125" s="283"/>
      <c r="BF125" s="283"/>
      <c r="BG125" s="283"/>
      <c r="BH125" s="283"/>
      <c r="BI125" s="283"/>
      <c r="BJ125" s="283"/>
      <c r="BK125" s="283"/>
      <c r="BL125" s="283"/>
      <c r="BM125" s="283"/>
      <c r="BN125" s="283"/>
      <c r="BO125" s="283"/>
      <c r="BP125" s="283"/>
      <c r="BQ125" s="283"/>
      <c r="BR125" s="283"/>
      <c r="BS125" s="283"/>
      <c r="BT125" s="283"/>
      <c r="BU125" s="283"/>
      <c r="BV125" s="283"/>
      <c r="BW125" s="283"/>
      <c r="BX125" s="283"/>
      <c r="BY125" s="283"/>
      <c r="BZ125" s="283"/>
      <c r="CA125" s="283"/>
      <c r="CB125" s="283"/>
      <c r="CC125" s="283"/>
      <c r="CD125" s="283"/>
      <c r="CE125" s="283"/>
      <c r="CF125" s="283"/>
      <c r="CG125" s="283"/>
      <c r="CH125" s="283"/>
      <c r="CI125" s="283"/>
      <c r="CJ125" s="283"/>
      <c r="CK125" s="283"/>
    </row>
    <row r="126" spans="1:89" s="8" customFormat="1" ht="25.15" customHeight="1">
      <c r="A126" s="159" t="s">
        <v>21</v>
      </c>
      <c r="B126" s="158" t="s">
        <v>57</v>
      </c>
      <c r="C126" s="1286"/>
      <c r="D126" s="1287"/>
      <c r="E126" s="1287"/>
      <c r="F126" s="1288"/>
    </row>
    <row r="127" spans="1:89" s="8" customFormat="1" ht="39" customHeight="1">
      <c r="A127" s="461"/>
      <c r="B127" s="715" t="s">
        <v>6</v>
      </c>
      <c r="C127" s="956">
        <f>'10'!C7*0.71+0.5</f>
        <v>902.19999999999993</v>
      </c>
      <c r="D127" s="957">
        <v>0</v>
      </c>
      <c r="E127" s="957">
        <f>C127</f>
        <v>902.19999999999993</v>
      </c>
      <c r="F127" s="1135">
        <v>0</v>
      </c>
      <c r="G127" s="502" t="s">
        <v>426</v>
      </c>
    </row>
    <row r="128" spans="1:89" s="8" customFormat="1" ht="30">
      <c r="A128" s="327"/>
      <c r="B128" s="715" t="s">
        <v>162</v>
      </c>
      <c r="C128" s="956">
        <f>'10'!C7*0.29-0.5</f>
        <v>367.79999999999995</v>
      </c>
      <c r="D128" s="957">
        <v>0</v>
      </c>
      <c r="E128" s="957">
        <f>C128</f>
        <v>367.79999999999995</v>
      </c>
      <c r="F128" s="1135">
        <v>0</v>
      </c>
      <c r="G128" s="502" t="s">
        <v>426</v>
      </c>
    </row>
    <row r="129" spans="1:105" s="8" customFormat="1" ht="20.100000000000001" customHeight="1">
      <c r="A129" s="327"/>
      <c r="B129" s="715" t="s">
        <v>78</v>
      </c>
      <c r="C129" s="1079">
        <v>300</v>
      </c>
      <c r="D129" s="957">
        <v>0</v>
      </c>
      <c r="E129" s="957">
        <f t="shared" ref="E129" si="12">C129</f>
        <v>300</v>
      </c>
      <c r="F129" s="1135">
        <v>0</v>
      </c>
      <c r="G129" s="8" t="s">
        <v>655</v>
      </c>
    </row>
    <row r="130" spans="1:105" s="8" customFormat="1" ht="20.100000000000001" customHeight="1">
      <c r="A130" s="327"/>
      <c r="B130" s="375" t="s">
        <v>13</v>
      </c>
      <c r="C130" s="956">
        <v>0</v>
      </c>
      <c r="D130" s="957">
        <v>0</v>
      </c>
      <c r="E130" s="956">
        <v>0</v>
      </c>
      <c r="F130" s="1135">
        <v>0</v>
      </c>
    </row>
    <row r="131" spans="1:105" s="177" customFormat="1" ht="21" customHeight="1">
      <c r="A131" s="1136"/>
      <c r="B131" s="1134" t="s">
        <v>102</v>
      </c>
      <c r="C131" s="1132">
        <f>SUM(C127:C130)</f>
        <v>1570</v>
      </c>
      <c r="D131" s="1132">
        <f t="shared" ref="D131:F131" si="13">SUM(D127:D130)</f>
        <v>0</v>
      </c>
      <c r="E131" s="1132">
        <f t="shared" si="13"/>
        <v>1570</v>
      </c>
      <c r="F131" s="1133">
        <f t="shared" si="13"/>
        <v>0</v>
      </c>
    </row>
    <row r="132" spans="1:105" s="8" customFormat="1" ht="21" customHeight="1">
      <c r="A132" s="920"/>
      <c r="B132" s="906" t="s">
        <v>191</v>
      </c>
      <c r="C132" s="956">
        <v>0</v>
      </c>
      <c r="D132" s="956">
        <v>0</v>
      </c>
      <c r="E132" s="956">
        <v>0</v>
      </c>
      <c r="F132" s="791">
        <v>0</v>
      </c>
    </row>
    <row r="133" spans="1:105" s="8" customFormat="1" ht="21" customHeight="1">
      <c r="A133" s="920"/>
      <c r="B133" s="906" t="s">
        <v>16</v>
      </c>
      <c r="C133" s="956">
        <v>0</v>
      </c>
      <c r="D133" s="956">
        <v>0</v>
      </c>
      <c r="E133" s="956">
        <v>0</v>
      </c>
      <c r="F133" s="791">
        <v>0</v>
      </c>
    </row>
    <row r="134" spans="1:105" s="177" customFormat="1" ht="21" customHeight="1">
      <c r="A134" s="1137"/>
      <c r="B134" s="778" t="s">
        <v>556</v>
      </c>
      <c r="C134" s="1125">
        <f>SUM(C132:C133)</f>
        <v>0</v>
      </c>
      <c r="D134" s="1125">
        <f>SUM(D132:D133)</f>
        <v>0</v>
      </c>
      <c r="E134" s="1125">
        <f>SUM(E132:E133)</f>
        <v>0</v>
      </c>
      <c r="F134" s="1096">
        <f>SUM(F132:F133)</f>
        <v>0</v>
      </c>
    </row>
    <row r="135" spans="1:105" s="285" customFormat="1" ht="33" customHeight="1" thickBot="1">
      <c r="A135" s="852" t="s">
        <v>142</v>
      </c>
      <c r="B135" s="853" t="s">
        <v>58</v>
      </c>
      <c r="C135" s="1289"/>
      <c r="D135" s="1290"/>
      <c r="E135" s="1290"/>
      <c r="F135" s="1291"/>
      <c r="G135" s="283"/>
      <c r="H135" s="283"/>
      <c r="I135" s="283"/>
      <c r="J135" s="283"/>
      <c r="K135" s="283"/>
      <c r="L135" s="283"/>
      <c r="M135" s="283"/>
      <c r="N135" s="283"/>
      <c r="O135" s="283"/>
      <c r="P135" s="283"/>
      <c r="Q135" s="283"/>
      <c r="R135" s="283"/>
      <c r="S135" s="283"/>
      <c r="T135" s="283"/>
      <c r="U135" s="283"/>
      <c r="V135" s="283"/>
      <c r="W135" s="283"/>
      <c r="X135" s="283"/>
      <c r="Y135" s="283"/>
      <c r="Z135" s="283"/>
      <c r="AA135" s="283"/>
      <c r="AB135" s="283"/>
      <c r="AC135" s="283"/>
      <c r="AD135" s="283"/>
      <c r="AE135" s="283"/>
      <c r="AF135" s="283"/>
      <c r="AG135" s="283"/>
      <c r="AH135" s="283"/>
      <c r="AI135" s="283"/>
      <c r="AJ135" s="283"/>
      <c r="AK135" s="283"/>
      <c r="AL135" s="283"/>
      <c r="AM135" s="283"/>
      <c r="AN135" s="283"/>
      <c r="AO135" s="283"/>
      <c r="AP135" s="283"/>
      <c r="AQ135" s="283"/>
      <c r="AR135" s="283"/>
      <c r="AS135" s="283"/>
      <c r="AT135" s="283"/>
      <c r="AU135" s="283"/>
      <c r="AV135" s="283"/>
      <c r="AW135" s="283"/>
      <c r="AX135" s="283"/>
      <c r="AY135" s="283"/>
      <c r="AZ135" s="283"/>
      <c r="BA135" s="283"/>
      <c r="BB135" s="283"/>
      <c r="BC135" s="283"/>
      <c r="BD135" s="283"/>
      <c r="BE135" s="283"/>
      <c r="BF135" s="283"/>
      <c r="BG135" s="283"/>
      <c r="BH135" s="283"/>
      <c r="BI135" s="283"/>
      <c r="BJ135" s="283"/>
      <c r="BK135" s="283"/>
      <c r="BL135" s="283"/>
      <c r="BM135" s="283"/>
      <c r="BN135" s="283"/>
      <c r="BO135" s="283"/>
      <c r="BP135" s="283"/>
      <c r="BQ135" s="283"/>
      <c r="BR135" s="283"/>
      <c r="BS135" s="283"/>
      <c r="BT135" s="283"/>
      <c r="BU135" s="283"/>
      <c r="BV135" s="283"/>
      <c r="BW135" s="283"/>
      <c r="BX135" s="283"/>
      <c r="BY135" s="283"/>
      <c r="BZ135" s="283"/>
      <c r="CA135" s="283"/>
      <c r="CB135" s="283"/>
      <c r="CC135" s="283"/>
      <c r="CD135" s="283"/>
      <c r="CE135" s="283"/>
      <c r="CF135" s="283"/>
      <c r="CG135" s="283"/>
      <c r="CH135" s="283"/>
      <c r="CI135" s="283"/>
      <c r="CJ135" s="283"/>
      <c r="CK135" s="283"/>
      <c r="CL135" s="283"/>
      <c r="CM135" s="283"/>
      <c r="CN135" s="283"/>
      <c r="CO135" s="283"/>
      <c r="CP135" s="283"/>
      <c r="CQ135" s="283"/>
      <c r="CR135" s="283"/>
      <c r="CS135" s="283"/>
      <c r="CT135" s="283"/>
      <c r="CU135" s="283"/>
      <c r="CV135" s="283"/>
      <c r="CW135" s="283"/>
      <c r="CX135" s="283"/>
      <c r="CY135" s="283"/>
      <c r="CZ135" s="283"/>
      <c r="DA135" s="283"/>
    </row>
    <row r="136" spans="1:105" s="9" customFormat="1" ht="25.15" customHeight="1">
      <c r="A136" s="156" t="s">
        <v>21</v>
      </c>
      <c r="B136" s="158" t="s">
        <v>59</v>
      </c>
      <c r="C136" s="1277"/>
      <c r="D136" s="1278"/>
      <c r="E136" s="1278"/>
      <c r="F136" s="1279"/>
    </row>
    <row r="137" spans="1:105" s="9" customFormat="1" ht="20.100000000000001" customHeight="1">
      <c r="A137" s="462"/>
      <c r="B137" s="716" t="s">
        <v>6</v>
      </c>
      <c r="C137" s="959">
        <v>3000</v>
      </c>
      <c r="D137" s="993">
        <f t="shared" ref="D137:D138" si="14">C137</f>
        <v>3000</v>
      </c>
      <c r="E137" s="993">
        <v>0</v>
      </c>
      <c r="F137" s="1138">
        <v>0</v>
      </c>
      <c r="G137" s="90"/>
    </row>
    <row r="138" spans="1:105" s="9" customFormat="1" ht="20.100000000000001" customHeight="1">
      <c r="A138" s="328"/>
      <c r="B138" s="716" t="s">
        <v>162</v>
      </c>
      <c r="C138" s="959">
        <v>1200</v>
      </c>
      <c r="D138" s="993">
        <f t="shared" si="14"/>
        <v>1200</v>
      </c>
      <c r="E138" s="993">
        <v>0</v>
      </c>
      <c r="F138" s="1138">
        <v>0</v>
      </c>
      <c r="G138" s="90"/>
    </row>
    <row r="139" spans="1:105" s="9" customFormat="1" ht="20.100000000000001" customHeight="1">
      <c r="A139" s="328"/>
      <c r="B139" s="716" t="s">
        <v>78</v>
      </c>
      <c r="C139" s="959">
        <v>2800</v>
      </c>
      <c r="D139" s="993">
        <f>C139</f>
        <v>2800</v>
      </c>
      <c r="E139" s="959">
        <v>0</v>
      </c>
      <c r="F139" s="1138">
        <v>0</v>
      </c>
      <c r="G139" s="90"/>
    </row>
    <row r="140" spans="1:105" s="9" customFormat="1" ht="20.100000000000001" customHeight="1">
      <c r="A140" s="328"/>
      <c r="B140" s="1139" t="s">
        <v>13</v>
      </c>
      <c r="C140" s="959">
        <v>0</v>
      </c>
      <c r="D140" s="993">
        <v>0</v>
      </c>
      <c r="E140" s="959">
        <v>0</v>
      </c>
      <c r="F140" s="1138">
        <v>0</v>
      </c>
    </row>
    <row r="141" spans="1:105" s="1145" customFormat="1" ht="21" customHeight="1">
      <c r="A141" s="1141"/>
      <c r="B141" s="1142" t="s">
        <v>102</v>
      </c>
      <c r="C141" s="1143">
        <f>SUM(C137:C140)</f>
        <v>7000</v>
      </c>
      <c r="D141" s="1143">
        <f t="shared" ref="D141:F141" si="15">SUM(D137:D140)</f>
        <v>7000</v>
      </c>
      <c r="E141" s="1143">
        <f t="shared" si="15"/>
        <v>0</v>
      </c>
      <c r="F141" s="1144">
        <f t="shared" si="15"/>
        <v>0</v>
      </c>
      <c r="G141" s="217" t="s">
        <v>705</v>
      </c>
    </row>
    <row r="142" spans="1:105" s="9" customFormat="1" ht="21" customHeight="1">
      <c r="A142" s="921"/>
      <c r="B142" s="1140" t="s">
        <v>191</v>
      </c>
      <c r="C142" s="956">
        <v>0</v>
      </c>
      <c r="D142" s="956">
        <v>0</v>
      </c>
      <c r="E142" s="956">
        <v>0</v>
      </c>
      <c r="F142" s="791">
        <v>0</v>
      </c>
    </row>
    <row r="143" spans="1:105" s="9" customFormat="1" ht="21" customHeight="1">
      <c r="A143" s="921"/>
      <c r="B143" s="1140" t="s">
        <v>16</v>
      </c>
      <c r="C143" s="956">
        <v>0</v>
      </c>
      <c r="D143" s="956">
        <v>0</v>
      </c>
      <c r="E143" s="956">
        <v>0</v>
      </c>
      <c r="F143" s="791">
        <v>0</v>
      </c>
    </row>
    <row r="144" spans="1:105" s="1145" customFormat="1" ht="21" customHeight="1">
      <c r="A144" s="1146"/>
      <c r="B144" s="778" t="s">
        <v>556</v>
      </c>
      <c r="C144" s="1125">
        <f>SUM(C142:C143)</f>
        <v>0</v>
      </c>
      <c r="D144" s="1125">
        <f>SUM(D142:D143)</f>
        <v>0</v>
      </c>
      <c r="E144" s="1125">
        <f>SUM(E142:E143)</f>
        <v>0</v>
      </c>
      <c r="F144" s="1096">
        <f>SUM(F142:F143)</f>
        <v>0</v>
      </c>
    </row>
    <row r="145" spans="1:10" s="3" customFormat="1" ht="25.15" customHeight="1">
      <c r="A145" s="156" t="s">
        <v>22</v>
      </c>
      <c r="B145" s="376" t="s">
        <v>60</v>
      </c>
      <c r="C145" s="1283"/>
      <c r="D145" s="1284"/>
      <c r="E145" s="1284"/>
      <c r="F145" s="1285"/>
    </row>
    <row r="146" spans="1:10" s="3" customFormat="1" ht="20.100000000000001" customHeight="1">
      <c r="A146" s="1147"/>
      <c r="B146" s="375" t="s">
        <v>6</v>
      </c>
      <c r="C146" s="959">
        <v>350</v>
      </c>
      <c r="D146" s="957">
        <v>0</v>
      </c>
      <c r="E146" s="957">
        <v>350</v>
      </c>
      <c r="F146" s="360">
        <v>0</v>
      </c>
    </row>
    <row r="147" spans="1:10" s="3" customFormat="1" ht="20.100000000000001" customHeight="1">
      <c r="A147" s="328"/>
      <c r="B147" s="375" t="s">
        <v>162</v>
      </c>
      <c r="C147" s="959">
        <v>150</v>
      </c>
      <c r="D147" s="957">
        <v>0</v>
      </c>
      <c r="E147" s="957">
        <v>150</v>
      </c>
      <c r="F147" s="360">
        <v>0</v>
      </c>
    </row>
    <row r="148" spans="1:10" s="3" customFormat="1" ht="48.75" customHeight="1">
      <c r="A148" s="328"/>
      <c r="B148" s="715" t="s">
        <v>78</v>
      </c>
      <c r="C148" s="959">
        <f>8000+3763</f>
        <v>11763</v>
      </c>
      <c r="D148" s="957">
        <v>0</v>
      </c>
      <c r="E148" s="957">
        <f>C148</f>
        <v>11763</v>
      </c>
      <c r="F148" s="360">
        <v>0</v>
      </c>
      <c r="G148" s="1310" t="s">
        <v>709</v>
      </c>
      <c r="H148" s="1311"/>
      <c r="I148" s="1311"/>
      <c r="J148" s="1311"/>
    </row>
    <row r="149" spans="1:10" s="3" customFormat="1" ht="20.100000000000001" customHeight="1">
      <c r="A149" s="328"/>
      <c r="B149" s="375" t="s">
        <v>13</v>
      </c>
      <c r="C149" s="956">
        <v>0</v>
      </c>
      <c r="D149" s="957">
        <v>0</v>
      </c>
      <c r="E149" s="957">
        <v>0</v>
      </c>
      <c r="F149" s="360">
        <v>0</v>
      </c>
    </row>
    <row r="150" spans="1:10" s="10" customFormat="1" ht="21" customHeight="1">
      <c r="A150" s="1148"/>
      <c r="B150" s="1127" t="s">
        <v>102</v>
      </c>
      <c r="C150" s="1125">
        <f>SUM(C146:C149)</f>
        <v>12263</v>
      </c>
      <c r="D150" s="1125">
        <f t="shared" ref="D150:F150" si="16">SUM(D146:D149)</f>
        <v>0</v>
      </c>
      <c r="E150" s="1125">
        <f t="shared" si="16"/>
        <v>12263</v>
      </c>
      <c r="F150" s="1096">
        <f t="shared" si="16"/>
        <v>0</v>
      </c>
    </row>
    <row r="151" spans="1:10" s="3" customFormat="1" ht="21" customHeight="1">
      <c r="A151" s="328"/>
      <c r="B151" s="906" t="s">
        <v>191</v>
      </c>
      <c r="C151" s="956">
        <v>0</v>
      </c>
      <c r="D151" s="956">
        <v>0</v>
      </c>
      <c r="E151" s="956">
        <v>0</v>
      </c>
      <c r="F151" s="791">
        <v>0</v>
      </c>
    </row>
    <row r="152" spans="1:10" s="3" customFormat="1" ht="21" customHeight="1">
      <c r="A152" s="328"/>
      <c r="B152" s="906" t="s">
        <v>16</v>
      </c>
      <c r="C152" s="956">
        <v>0</v>
      </c>
      <c r="D152" s="956">
        <v>0</v>
      </c>
      <c r="E152" s="956">
        <v>0</v>
      </c>
      <c r="F152" s="791">
        <v>0</v>
      </c>
    </row>
    <row r="153" spans="1:10" s="10" customFormat="1" ht="21" customHeight="1">
      <c r="A153" s="1146"/>
      <c r="B153" s="1149" t="s">
        <v>556</v>
      </c>
      <c r="C153" s="1085">
        <f>SUM(C151:C152)</f>
        <v>0</v>
      </c>
      <c r="D153" s="1085">
        <f>SUM(D151:D152)</f>
        <v>0</v>
      </c>
      <c r="E153" s="1085">
        <f>SUM(E151:E152)</f>
        <v>0</v>
      </c>
      <c r="F153" s="1096">
        <f>SUM(F151:F152)</f>
        <v>0</v>
      </c>
    </row>
    <row r="154" spans="1:10" s="286" customFormat="1" ht="33" customHeight="1" thickBot="1">
      <c r="A154" s="852" t="s">
        <v>143</v>
      </c>
      <c r="B154" s="853" t="s">
        <v>62</v>
      </c>
      <c r="C154" s="1280"/>
      <c r="D154" s="1281"/>
      <c r="E154" s="1281"/>
      <c r="F154" s="1282"/>
    </row>
    <row r="155" spans="1:10" s="3" customFormat="1" ht="25.15" customHeight="1">
      <c r="A155" s="156" t="s">
        <v>21</v>
      </c>
      <c r="B155" s="158" t="s">
        <v>357</v>
      </c>
      <c r="C155" s="1277"/>
      <c r="D155" s="1278"/>
      <c r="E155" s="1278"/>
      <c r="F155" s="1279"/>
    </row>
    <row r="156" spans="1:10" s="3" customFormat="1" ht="20.25" customHeight="1">
      <c r="A156" s="457"/>
      <c r="B156" s="715" t="s">
        <v>6</v>
      </c>
      <c r="C156" s="956">
        <v>700</v>
      </c>
      <c r="D156" s="957">
        <v>0</v>
      </c>
      <c r="E156" s="957">
        <f>C156</f>
        <v>700</v>
      </c>
      <c r="F156" s="360">
        <v>0</v>
      </c>
      <c r="G156" s="3" t="s">
        <v>707</v>
      </c>
    </row>
    <row r="157" spans="1:10" s="3" customFormat="1" ht="20.100000000000001" customHeight="1">
      <c r="A157" s="326"/>
      <c r="B157" s="715" t="s">
        <v>162</v>
      </c>
      <c r="C157" s="956">
        <v>300</v>
      </c>
      <c r="D157" s="957">
        <v>0</v>
      </c>
      <c r="E157" s="957">
        <f>C157</f>
        <v>300</v>
      </c>
      <c r="F157" s="360">
        <v>0</v>
      </c>
      <c r="G157" s="3" t="s">
        <v>653</v>
      </c>
    </row>
    <row r="158" spans="1:10" s="3" customFormat="1" ht="20.100000000000001" customHeight="1">
      <c r="A158" s="326"/>
      <c r="B158" s="715" t="s">
        <v>78</v>
      </c>
      <c r="C158" s="956">
        <v>1000</v>
      </c>
      <c r="D158" s="957">
        <v>0</v>
      </c>
      <c r="E158" s="957">
        <f>C158</f>
        <v>1000</v>
      </c>
      <c r="F158" s="360">
        <v>0</v>
      </c>
      <c r="G158" s="3" t="s">
        <v>653</v>
      </c>
    </row>
    <row r="159" spans="1:10" s="3" customFormat="1" ht="20.100000000000001" customHeight="1">
      <c r="A159" s="326"/>
      <c r="B159" s="375" t="s">
        <v>13</v>
      </c>
      <c r="C159" s="956">
        <v>0</v>
      </c>
      <c r="D159" s="957">
        <v>0</v>
      </c>
      <c r="E159" s="956">
        <v>0</v>
      </c>
      <c r="F159" s="360">
        <v>0</v>
      </c>
    </row>
    <row r="160" spans="1:10" s="10" customFormat="1" ht="21" customHeight="1">
      <c r="A160" s="986"/>
      <c r="B160" s="1124" t="s">
        <v>102</v>
      </c>
      <c r="C160" s="1125">
        <f t="shared" ref="C160:F160" si="17">SUM(C156:C159)</f>
        <v>2000</v>
      </c>
      <c r="D160" s="1125">
        <f t="shared" si="17"/>
        <v>0</v>
      </c>
      <c r="E160" s="1125">
        <f t="shared" si="17"/>
        <v>2000</v>
      </c>
      <c r="F160" s="1096">
        <f t="shared" si="17"/>
        <v>0</v>
      </c>
      <c r="G160" s="10" t="s">
        <v>708</v>
      </c>
    </row>
    <row r="161" spans="1:7" s="3" customFormat="1" ht="21" customHeight="1">
      <c r="A161" s="905"/>
      <c r="B161" s="906" t="s">
        <v>191</v>
      </c>
      <c r="C161" s="956">
        <v>0</v>
      </c>
      <c r="D161" s="956">
        <v>0</v>
      </c>
      <c r="E161" s="956">
        <v>0</v>
      </c>
      <c r="F161" s="791">
        <v>0</v>
      </c>
    </row>
    <row r="162" spans="1:7" s="3" customFormat="1" ht="21" customHeight="1">
      <c r="A162" s="905"/>
      <c r="B162" s="906" t="s">
        <v>16</v>
      </c>
      <c r="C162" s="956">
        <v>0</v>
      </c>
      <c r="D162" s="956">
        <v>0</v>
      </c>
      <c r="E162" s="956">
        <v>0</v>
      </c>
      <c r="F162" s="791">
        <v>0</v>
      </c>
    </row>
    <row r="163" spans="1:7" s="10" customFormat="1" ht="21" customHeight="1">
      <c r="A163" s="986"/>
      <c r="B163" s="778" t="s">
        <v>556</v>
      </c>
      <c r="C163" s="1125">
        <f>SUM(C161:C162)</f>
        <v>0</v>
      </c>
      <c r="D163" s="1125">
        <f>SUM(D161:D162)</f>
        <v>0</v>
      </c>
      <c r="E163" s="1125">
        <f>SUM(E161:E162)</f>
        <v>0</v>
      </c>
      <c r="F163" s="1096">
        <f>SUM(F161:F162)</f>
        <v>0</v>
      </c>
    </row>
    <row r="164" spans="1:7" s="11" customFormat="1" ht="38.25" customHeight="1">
      <c r="A164" s="154" t="s">
        <v>22</v>
      </c>
      <c r="B164" s="376" t="s">
        <v>658</v>
      </c>
      <c r="C164" s="1274"/>
      <c r="D164" s="1275"/>
      <c r="E164" s="1275"/>
      <c r="F164" s="1276"/>
    </row>
    <row r="165" spans="1:7" s="11" customFormat="1" ht="20.100000000000001" customHeight="1">
      <c r="A165" s="457"/>
      <c r="B165" s="375" t="s">
        <v>6</v>
      </c>
      <c r="C165" s="1074">
        <v>0</v>
      </c>
      <c r="D165" s="1075">
        <v>0</v>
      </c>
      <c r="E165" s="1075">
        <v>0</v>
      </c>
      <c r="F165" s="1076">
        <v>0</v>
      </c>
    </row>
    <row r="166" spans="1:7" s="11" customFormat="1" ht="20.100000000000001" customHeight="1">
      <c r="A166" s="326"/>
      <c r="B166" s="375" t="s">
        <v>162</v>
      </c>
      <c r="C166" s="1074">
        <v>0</v>
      </c>
      <c r="D166" s="1075">
        <v>0</v>
      </c>
      <c r="E166" s="1075">
        <v>0</v>
      </c>
      <c r="F166" s="1076">
        <v>0</v>
      </c>
    </row>
    <row r="167" spans="1:7" s="11" customFormat="1" ht="20.100000000000001" customHeight="1">
      <c r="A167" s="326"/>
      <c r="B167" s="715" t="s">
        <v>78</v>
      </c>
      <c r="C167" s="956">
        <v>11000</v>
      </c>
      <c r="D167" s="956">
        <f>C167</f>
        <v>11000</v>
      </c>
      <c r="E167" s="1075">
        <v>0</v>
      </c>
      <c r="F167" s="1076">
        <v>0</v>
      </c>
      <c r="G167" s="11" t="s">
        <v>652</v>
      </c>
    </row>
    <row r="168" spans="1:7" s="11" customFormat="1" ht="20.100000000000001" customHeight="1">
      <c r="A168" s="326"/>
      <c r="B168" s="375" t="s">
        <v>13</v>
      </c>
      <c r="C168" s="956">
        <v>0</v>
      </c>
      <c r="D168" s="956">
        <v>0</v>
      </c>
      <c r="E168" s="1075">
        <v>0</v>
      </c>
      <c r="F168" s="1076">
        <v>0</v>
      </c>
    </row>
    <row r="169" spans="1:7" s="1150" customFormat="1" ht="21" customHeight="1">
      <c r="A169" s="1130"/>
      <c r="B169" s="1127" t="s">
        <v>102</v>
      </c>
      <c r="C169" s="1125">
        <f t="shared" ref="C169:F169" si="18">SUM(C165:C168)</f>
        <v>11000</v>
      </c>
      <c r="D169" s="1125">
        <f t="shared" si="18"/>
        <v>11000</v>
      </c>
      <c r="E169" s="1125">
        <f t="shared" si="18"/>
        <v>0</v>
      </c>
      <c r="F169" s="1096">
        <f t="shared" si="18"/>
        <v>0</v>
      </c>
    </row>
    <row r="170" spans="1:7" s="11" customFormat="1" ht="21" customHeight="1">
      <c r="A170" s="905"/>
      <c r="B170" s="906" t="s">
        <v>191</v>
      </c>
      <c r="C170" s="956">
        <v>0</v>
      </c>
      <c r="D170" s="956">
        <v>0</v>
      </c>
      <c r="E170" s="956">
        <v>0</v>
      </c>
      <c r="F170" s="791">
        <v>0</v>
      </c>
    </row>
    <row r="171" spans="1:7" s="11" customFormat="1" ht="21" customHeight="1">
      <c r="A171" s="905"/>
      <c r="B171" s="906" t="s">
        <v>16</v>
      </c>
      <c r="C171" s="956">
        <v>0</v>
      </c>
      <c r="D171" s="956">
        <v>0</v>
      </c>
      <c r="E171" s="956">
        <v>0</v>
      </c>
      <c r="F171" s="791">
        <v>0</v>
      </c>
    </row>
    <row r="172" spans="1:7" s="1150" customFormat="1" ht="21" customHeight="1">
      <c r="A172" s="986"/>
      <c r="B172" s="778" t="s">
        <v>556</v>
      </c>
      <c r="C172" s="1125">
        <f>SUM(C170:C171)</f>
        <v>0</v>
      </c>
      <c r="D172" s="1125">
        <f>SUM(D170:D171)</f>
        <v>0</v>
      </c>
      <c r="E172" s="1125">
        <f>SUM(E170:E171)</f>
        <v>0</v>
      </c>
      <c r="F172" s="1096">
        <f>SUM(F170:F171)</f>
        <v>0</v>
      </c>
    </row>
    <row r="173" spans="1:7" s="11" customFormat="1" ht="25.15" customHeight="1">
      <c r="A173" s="154" t="s">
        <v>23</v>
      </c>
      <c r="B173" s="376" t="s">
        <v>63</v>
      </c>
      <c r="C173" s="1274"/>
      <c r="D173" s="1275"/>
      <c r="E173" s="1275"/>
      <c r="F173" s="1276"/>
    </row>
    <row r="174" spans="1:7" s="11" customFormat="1" ht="20.100000000000001" customHeight="1">
      <c r="A174" s="1129"/>
      <c r="B174" s="906" t="s">
        <v>6</v>
      </c>
      <c r="C174" s="1074">
        <v>0</v>
      </c>
      <c r="D174" s="1075">
        <v>0</v>
      </c>
      <c r="E174" s="1075">
        <v>0</v>
      </c>
      <c r="F174" s="1076">
        <v>0</v>
      </c>
    </row>
    <row r="175" spans="1:7" s="11" customFormat="1" ht="20.100000000000001" customHeight="1">
      <c r="A175" s="326"/>
      <c r="B175" s="906" t="s">
        <v>162</v>
      </c>
      <c r="C175" s="1074">
        <v>0</v>
      </c>
      <c r="D175" s="1075">
        <v>0</v>
      </c>
      <c r="E175" s="1075">
        <v>0</v>
      </c>
      <c r="F175" s="1076">
        <v>0</v>
      </c>
    </row>
    <row r="176" spans="1:7" s="11" customFormat="1" ht="51.75" customHeight="1">
      <c r="A176" s="326"/>
      <c r="B176" s="814" t="s">
        <v>78</v>
      </c>
      <c r="C176" s="956">
        <v>32500</v>
      </c>
      <c r="D176" s="956">
        <v>0</v>
      </c>
      <c r="E176" s="957">
        <f>C176</f>
        <v>32500</v>
      </c>
      <c r="F176" s="1076">
        <v>0</v>
      </c>
      <c r="G176" s="410" t="s">
        <v>706</v>
      </c>
    </row>
    <row r="177" spans="1:6" s="11" customFormat="1" ht="20.100000000000001" customHeight="1">
      <c r="A177" s="326"/>
      <c r="B177" s="906" t="s">
        <v>13</v>
      </c>
      <c r="C177" s="956">
        <v>0</v>
      </c>
      <c r="D177" s="956">
        <v>0</v>
      </c>
      <c r="E177" s="1075">
        <v>0</v>
      </c>
      <c r="F177" s="1076">
        <v>0</v>
      </c>
    </row>
    <row r="178" spans="1:6" s="1150" customFormat="1" ht="21" customHeight="1">
      <c r="A178" s="1130"/>
      <c r="B178" s="1124" t="s">
        <v>102</v>
      </c>
      <c r="C178" s="1125">
        <f>SUM(C174:C177)</f>
        <v>32500</v>
      </c>
      <c r="D178" s="1125">
        <f t="shared" ref="D178:F178" si="19">SUM(D174:D177)</f>
        <v>0</v>
      </c>
      <c r="E178" s="1125">
        <f t="shared" si="19"/>
        <v>32500</v>
      </c>
      <c r="F178" s="1096">
        <f t="shared" si="19"/>
        <v>0</v>
      </c>
    </row>
    <row r="179" spans="1:6" s="11" customFormat="1" ht="21" customHeight="1">
      <c r="A179" s="326"/>
      <c r="B179" s="906" t="s">
        <v>191</v>
      </c>
      <c r="C179" s="956">
        <v>0</v>
      </c>
      <c r="D179" s="956">
        <v>0</v>
      </c>
      <c r="E179" s="956">
        <f>C179</f>
        <v>0</v>
      </c>
      <c r="F179" s="791">
        <v>0</v>
      </c>
    </row>
    <row r="180" spans="1:6" s="11" customFormat="1" ht="21" customHeight="1">
      <c r="A180" s="326"/>
      <c r="B180" s="906" t="s">
        <v>16</v>
      </c>
      <c r="C180" s="956">
        <v>0</v>
      </c>
      <c r="D180" s="956">
        <v>0</v>
      </c>
      <c r="E180" s="956">
        <v>0</v>
      </c>
      <c r="F180" s="791">
        <v>0</v>
      </c>
    </row>
    <row r="181" spans="1:6" s="1150" customFormat="1" ht="21" customHeight="1" thickBot="1">
      <c r="A181" s="1154"/>
      <c r="B181" s="1151" t="s">
        <v>556</v>
      </c>
      <c r="C181" s="1152">
        <f>SUM(C179:C180)</f>
        <v>0</v>
      </c>
      <c r="D181" s="1152">
        <f>SUM(D179:D180)</f>
        <v>0</v>
      </c>
      <c r="E181" s="1152">
        <f>SUM(E179:E180)</f>
        <v>0</v>
      </c>
      <c r="F181" s="1153">
        <f>SUM(F179:F180)</f>
        <v>0</v>
      </c>
    </row>
    <row r="182" spans="1:6" s="1150" customFormat="1" ht="21" customHeight="1">
      <c r="A182" s="154" t="s">
        <v>24</v>
      </c>
      <c r="B182" s="376" t="s">
        <v>523</v>
      </c>
      <c r="C182" s="1283"/>
      <c r="D182" s="1284"/>
      <c r="E182" s="1284"/>
      <c r="F182" s="1285"/>
    </row>
    <row r="183" spans="1:6" s="1150" customFormat="1" ht="21" customHeight="1">
      <c r="A183" s="1130"/>
      <c r="B183" s="715" t="s">
        <v>6</v>
      </c>
      <c r="C183" s="956">
        <v>54670</v>
      </c>
      <c r="D183" s="957">
        <v>54670</v>
      </c>
      <c r="E183" s="957">
        <v>0</v>
      </c>
      <c r="F183" s="360">
        <v>0</v>
      </c>
    </row>
    <row r="184" spans="1:6" s="1150" customFormat="1" ht="21" customHeight="1">
      <c r="A184" s="1130"/>
      <c r="B184" s="715" t="s">
        <v>162</v>
      </c>
      <c r="C184" s="956">
        <v>9570</v>
      </c>
      <c r="D184" s="957">
        <v>9570</v>
      </c>
      <c r="E184" s="957">
        <v>0</v>
      </c>
      <c r="F184" s="360">
        <v>0</v>
      </c>
    </row>
    <row r="185" spans="1:6" s="1150" customFormat="1" ht="21" customHeight="1">
      <c r="A185" s="1130"/>
      <c r="B185" s="375" t="s">
        <v>78</v>
      </c>
      <c r="C185" s="1079">
        <v>0</v>
      </c>
      <c r="D185" s="1079">
        <v>0</v>
      </c>
      <c r="E185" s="957">
        <v>0</v>
      </c>
      <c r="F185" s="360">
        <v>0</v>
      </c>
    </row>
    <row r="186" spans="1:6" s="1150" customFormat="1" ht="21" customHeight="1">
      <c r="A186" s="1130"/>
      <c r="B186" s="375" t="s">
        <v>13</v>
      </c>
      <c r="C186" s="956">
        <v>0</v>
      </c>
      <c r="D186" s="956">
        <v>0</v>
      </c>
      <c r="E186" s="957">
        <v>0</v>
      </c>
      <c r="F186" s="360">
        <v>0</v>
      </c>
    </row>
    <row r="187" spans="1:6" s="1150" customFormat="1" ht="21" customHeight="1">
      <c r="A187" s="1130"/>
      <c r="B187" s="1127" t="s">
        <v>102</v>
      </c>
      <c r="C187" s="1125">
        <f>SUM(C183:C186)</f>
        <v>64240</v>
      </c>
      <c r="D187" s="1125">
        <f t="shared" ref="D187:F187" si="20">SUM(D183:D186)</f>
        <v>64240</v>
      </c>
      <c r="E187" s="1125">
        <f t="shared" si="20"/>
        <v>0</v>
      </c>
      <c r="F187" s="1096">
        <f t="shared" si="20"/>
        <v>0</v>
      </c>
    </row>
    <row r="188" spans="1:6" s="1150" customFormat="1" ht="21" customHeight="1">
      <c r="A188" s="1130"/>
      <c r="B188" s="906" t="s">
        <v>191</v>
      </c>
      <c r="C188" s="956">
        <v>0</v>
      </c>
      <c r="D188" s="956">
        <v>0</v>
      </c>
      <c r="E188" s="956">
        <v>0</v>
      </c>
      <c r="F188" s="791">
        <v>0</v>
      </c>
    </row>
    <row r="189" spans="1:6" s="1150" customFormat="1" ht="21" customHeight="1">
      <c r="A189" s="1130"/>
      <c r="B189" s="906" t="s">
        <v>16</v>
      </c>
      <c r="C189" s="956">
        <v>0</v>
      </c>
      <c r="D189" s="956">
        <v>0</v>
      </c>
      <c r="E189" s="956">
        <v>0</v>
      </c>
      <c r="F189" s="791">
        <v>0</v>
      </c>
    </row>
    <row r="190" spans="1:6" s="1150" customFormat="1" ht="21" customHeight="1">
      <c r="A190" s="1130"/>
      <c r="B190" s="778" t="s">
        <v>556</v>
      </c>
      <c r="C190" s="634">
        <f>SUM(C188:C189)</f>
        <v>0</v>
      </c>
      <c r="D190" s="634">
        <f>SUM(D188:D189)</f>
        <v>0</v>
      </c>
      <c r="E190" s="634">
        <f>SUM(E188:E189)</f>
        <v>0</v>
      </c>
      <c r="F190" s="1096">
        <f>SUM(F188:F189)</f>
        <v>0</v>
      </c>
    </row>
    <row r="191" spans="1:6" s="287" customFormat="1" ht="33" customHeight="1" thickBot="1">
      <c r="A191" s="917" t="s">
        <v>144</v>
      </c>
      <c r="B191" s="918" t="s">
        <v>369</v>
      </c>
      <c r="C191" s="1271"/>
      <c r="D191" s="1272"/>
      <c r="E191" s="1272"/>
      <c r="F191" s="1273"/>
    </row>
    <row r="192" spans="1:6" s="11" customFormat="1" ht="25.15" customHeight="1">
      <c r="A192" s="914" t="s">
        <v>21</v>
      </c>
      <c r="B192" s="915" t="s">
        <v>308</v>
      </c>
      <c r="C192" s="1320"/>
      <c r="D192" s="1320"/>
      <c r="E192" s="1320"/>
      <c r="F192" s="1321"/>
    </row>
    <row r="193" spans="1:6" s="11" customFormat="1" ht="21" customHeight="1">
      <c r="A193" s="1129"/>
      <c r="B193" s="906" t="s">
        <v>6</v>
      </c>
      <c r="C193" s="956">
        <v>0</v>
      </c>
      <c r="D193" s="1075">
        <v>0</v>
      </c>
      <c r="E193" s="1075">
        <v>0</v>
      </c>
      <c r="F193" s="1076">
        <v>0</v>
      </c>
    </row>
    <row r="194" spans="1:6" s="11" customFormat="1" ht="21" customHeight="1">
      <c r="A194" s="326"/>
      <c r="B194" s="906" t="s">
        <v>162</v>
      </c>
      <c r="C194" s="956">
        <v>0</v>
      </c>
      <c r="D194" s="1075">
        <v>0</v>
      </c>
      <c r="E194" s="1075">
        <v>0</v>
      </c>
      <c r="F194" s="1076">
        <v>0</v>
      </c>
    </row>
    <row r="195" spans="1:6" s="11" customFormat="1" ht="21" customHeight="1">
      <c r="A195" s="326"/>
      <c r="B195" s="814" t="s">
        <v>78</v>
      </c>
      <c r="C195" s="956">
        <v>5000</v>
      </c>
      <c r="D195" s="957">
        <f>C195</f>
        <v>5000</v>
      </c>
      <c r="E195" s="956">
        <v>0</v>
      </c>
      <c r="F195" s="1076">
        <v>0</v>
      </c>
    </row>
    <row r="196" spans="1:6" s="11" customFormat="1" ht="21" customHeight="1">
      <c r="A196" s="326"/>
      <c r="B196" s="906" t="s">
        <v>13</v>
      </c>
      <c r="C196" s="956">
        <v>0</v>
      </c>
      <c r="D196" s="957">
        <v>0</v>
      </c>
      <c r="E196" s="956">
        <v>0</v>
      </c>
      <c r="F196" s="1076">
        <v>0</v>
      </c>
    </row>
    <row r="197" spans="1:6" s="1150" customFormat="1" ht="21" customHeight="1">
      <c r="A197" s="1130"/>
      <c r="B197" s="1124" t="s">
        <v>102</v>
      </c>
      <c r="C197" s="1125">
        <f>SUM(C193:C196)</f>
        <v>5000</v>
      </c>
      <c r="D197" s="1125">
        <f>SUM(D193:D196)</f>
        <v>5000</v>
      </c>
      <c r="E197" s="1125">
        <f>SUM(E193:E196)</f>
        <v>0</v>
      </c>
      <c r="F197" s="664">
        <f>SUM(F193:F196)</f>
        <v>0</v>
      </c>
    </row>
    <row r="198" spans="1:6" s="11" customFormat="1" ht="21" customHeight="1">
      <c r="A198" s="326"/>
      <c r="B198" s="906" t="s">
        <v>191</v>
      </c>
      <c r="C198" s="956">
        <v>0</v>
      </c>
      <c r="D198" s="956">
        <v>0</v>
      </c>
      <c r="E198" s="956">
        <v>0</v>
      </c>
      <c r="F198" s="1084">
        <v>0</v>
      </c>
    </row>
    <row r="199" spans="1:6" s="11" customFormat="1" ht="21" customHeight="1">
      <c r="A199" s="326"/>
      <c r="B199" s="906" t="s">
        <v>16</v>
      </c>
      <c r="C199" s="956">
        <v>0</v>
      </c>
      <c r="D199" s="956">
        <v>0</v>
      </c>
      <c r="E199" s="956">
        <v>0</v>
      </c>
      <c r="F199" s="1084">
        <v>0</v>
      </c>
    </row>
    <row r="200" spans="1:6" s="1150" customFormat="1" ht="21" customHeight="1">
      <c r="A200" s="1126"/>
      <c r="B200" s="778" t="s">
        <v>556</v>
      </c>
      <c r="C200" s="1125">
        <v>0</v>
      </c>
      <c r="D200" s="1125">
        <v>0</v>
      </c>
      <c r="E200" s="1125">
        <v>0</v>
      </c>
      <c r="F200" s="664">
        <v>0</v>
      </c>
    </row>
    <row r="201" spans="1:6" s="11" customFormat="1" ht="15">
      <c r="A201" s="1157" t="s">
        <v>22</v>
      </c>
      <c r="B201" s="977" t="s">
        <v>767</v>
      </c>
      <c r="C201" s="1324"/>
      <c r="D201" s="1325"/>
      <c r="E201" s="1325"/>
      <c r="F201" s="1326"/>
    </row>
    <row r="202" spans="1:6" s="11" customFormat="1" ht="21" customHeight="1">
      <c r="A202" s="1129"/>
      <c r="B202" s="978" t="s">
        <v>6</v>
      </c>
      <c r="C202" s="956">
        <v>0</v>
      </c>
      <c r="D202" s="956">
        <v>0</v>
      </c>
      <c r="E202" s="956">
        <v>0</v>
      </c>
      <c r="F202" s="956">
        <v>0</v>
      </c>
    </row>
    <row r="203" spans="1:6" s="11" customFormat="1" ht="21" customHeight="1">
      <c r="A203" s="326"/>
      <c r="B203" s="978" t="s">
        <v>162</v>
      </c>
      <c r="C203" s="956">
        <v>0</v>
      </c>
      <c r="D203" s="956">
        <v>0</v>
      </c>
      <c r="E203" s="956">
        <v>0</v>
      </c>
      <c r="F203" s="956">
        <v>0</v>
      </c>
    </row>
    <row r="204" spans="1:6" s="11" customFormat="1" ht="21" customHeight="1">
      <c r="A204" s="326"/>
      <c r="B204" s="979" t="s">
        <v>78</v>
      </c>
      <c r="C204" s="956">
        <v>0</v>
      </c>
      <c r="D204" s="956">
        <v>0</v>
      </c>
      <c r="E204" s="956">
        <v>0</v>
      </c>
      <c r="F204" s="956">
        <v>0</v>
      </c>
    </row>
    <row r="205" spans="1:6" s="11" customFormat="1" ht="21" customHeight="1">
      <c r="A205" s="326"/>
      <c r="B205" s="978" t="s">
        <v>13</v>
      </c>
      <c r="C205" s="956">
        <v>0</v>
      </c>
      <c r="D205" s="956">
        <v>0</v>
      </c>
      <c r="E205" s="956">
        <v>0</v>
      </c>
      <c r="F205" s="956">
        <v>0</v>
      </c>
    </row>
    <row r="206" spans="1:6" s="1150" customFormat="1" ht="21" customHeight="1">
      <c r="A206" s="1130"/>
      <c r="B206" s="1155" t="s">
        <v>102</v>
      </c>
      <c r="C206" s="1125">
        <v>0</v>
      </c>
      <c r="D206" s="1125">
        <v>0</v>
      </c>
      <c r="E206" s="1125">
        <v>0</v>
      </c>
      <c r="F206" s="1125">
        <v>0</v>
      </c>
    </row>
    <row r="207" spans="1:6" s="11" customFormat="1" ht="21" customHeight="1">
      <c r="A207" s="326"/>
      <c r="B207" s="978" t="s">
        <v>191</v>
      </c>
      <c r="C207" s="956">
        <v>214371</v>
      </c>
      <c r="D207" s="956">
        <f>C207</f>
        <v>214371</v>
      </c>
      <c r="E207" s="956">
        <v>0</v>
      </c>
      <c r="F207" s="956">
        <v>0</v>
      </c>
    </row>
    <row r="208" spans="1:6" s="11" customFormat="1" ht="21" customHeight="1">
      <c r="A208" s="326"/>
      <c r="B208" s="978" t="s">
        <v>16</v>
      </c>
      <c r="C208" s="956">
        <v>0</v>
      </c>
      <c r="D208" s="956">
        <v>0</v>
      </c>
      <c r="E208" s="956">
        <v>0</v>
      </c>
      <c r="F208" s="956">
        <v>0</v>
      </c>
    </row>
    <row r="209" spans="1:7" s="1150" customFormat="1" ht="21" customHeight="1">
      <c r="A209" s="1126"/>
      <c r="B209" s="1149" t="s">
        <v>556</v>
      </c>
      <c r="C209" s="1125">
        <f>C207</f>
        <v>214371</v>
      </c>
      <c r="D209" s="1125">
        <f>D207</f>
        <v>214371</v>
      </c>
      <c r="E209" s="1125">
        <f t="shared" ref="E209:F209" si="21">E207</f>
        <v>0</v>
      </c>
      <c r="F209" s="1125">
        <f t="shared" si="21"/>
        <v>0</v>
      </c>
    </row>
    <row r="210" spans="1:7" s="11" customFormat="1" ht="15">
      <c r="A210" s="1157" t="s">
        <v>23</v>
      </c>
      <c r="B210" s="913" t="s">
        <v>781</v>
      </c>
      <c r="C210" s="1322"/>
      <c r="D210" s="1322"/>
      <c r="E210" s="1322"/>
      <c r="F210" s="1323"/>
    </row>
    <row r="211" spans="1:7" s="11" customFormat="1" ht="21" customHeight="1">
      <c r="A211" s="1129"/>
      <c r="B211" s="906" t="s">
        <v>6</v>
      </c>
      <c r="C211" s="956">
        <v>0</v>
      </c>
      <c r="D211" s="956">
        <v>0</v>
      </c>
      <c r="E211" s="956">
        <v>0</v>
      </c>
      <c r="F211" s="956">
        <v>0</v>
      </c>
    </row>
    <row r="212" spans="1:7" s="11" customFormat="1" ht="21" customHeight="1">
      <c r="A212" s="326"/>
      <c r="B212" s="906" t="s">
        <v>162</v>
      </c>
      <c r="C212" s="956">
        <v>0</v>
      </c>
      <c r="D212" s="956">
        <v>0</v>
      </c>
      <c r="E212" s="956">
        <v>0</v>
      </c>
      <c r="F212" s="956">
        <v>0</v>
      </c>
    </row>
    <row r="213" spans="1:7" s="11" customFormat="1" ht="21" customHeight="1">
      <c r="A213" s="326"/>
      <c r="B213" s="814" t="s">
        <v>78</v>
      </c>
      <c r="C213" s="956">
        <v>0</v>
      </c>
      <c r="D213" s="956">
        <v>0</v>
      </c>
      <c r="E213" s="956">
        <v>0</v>
      </c>
      <c r="F213" s="956">
        <v>0</v>
      </c>
    </row>
    <row r="214" spans="1:7" s="11" customFormat="1" ht="21" customHeight="1">
      <c r="A214" s="326"/>
      <c r="B214" s="906" t="s">
        <v>13</v>
      </c>
      <c r="C214" s="956">
        <v>0</v>
      </c>
      <c r="D214" s="956">
        <v>0</v>
      </c>
      <c r="E214" s="956">
        <v>0</v>
      </c>
      <c r="F214" s="956">
        <v>0</v>
      </c>
    </row>
    <row r="215" spans="1:7" s="11" customFormat="1" ht="21" customHeight="1">
      <c r="A215" s="326"/>
      <c r="B215" s="906" t="s">
        <v>102</v>
      </c>
      <c r="C215" s="956">
        <f>SUM(C211:C214)</f>
        <v>0</v>
      </c>
      <c r="D215" s="956">
        <f>SUM(D211:D214)</f>
        <v>0</v>
      </c>
      <c r="E215" s="956">
        <f t="shared" ref="E215:F215" si="22">SUM(E211:E214)</f>
        <v>0</v>
      </c>
      <c r="F215" s="956">
        <f t="shared" si="22"/>
        <v>0</v>
      </c>
    </row>
    <row r="216" spans="1:7" s="1150" customFormat="1" ht="21" customHeight="1">
      <c r="A216" s="1130"/>
      <c r="B216" s="1124" t="s">
        <v>191</v>
      </c>
      <c r="C216" s="1125">
        <v>302905</v>
      </c>
      <c r="D216" s="1125">
        <v>302905</v>
      </c>
      <c r="E216" s="1125">
        <v>0</v>
      </c>
      <c r="F216" s="1125">
        <v>0</v>
      </c>
      <c r="G216" s="1156">
        <f>C218+C215</f>
        <v>302905</v>
      </c>
    </row>
    <row r="217" spans="1:7" s="11" customFormat="1" ht="21" customHeight="1">
      <c r="A217" s="326"/>
      <c r="B217" s="906" t="s">
        <v>16</v>
      </c>
      <c r="C217" s="956">
        <v>0</v>
      </c>
      <c r="D217" s="956">
        <v>0</v>
      </c>
      <c r="E217" s="956">
        <v>0</v>
      </c>
      <c r="F217" s="956">
        <v>0</v>
      </c>
      <c r="G217" s="946">
        <f>'9'!C19</f>
        <v>302905</v>
      </c>
    </row>
    <row r="218" spans="1:7" s="1150" customFormat="1" ht="21" customHeight="1">
      <c r="A218" s="1126"/>
      <c r="B218" s="778" t="s">
        <v>556</v>
      </c>
      <c r="C218" s="1125">
        <f>SUM(C216:C217)</f>
        <v>302905</v>
      </c>
      <c r="D218" s="1125">
        <f>SUM(D216:D217)</f>
        <v>302905</v>
      </c>
      <c r="E218" s="1125">
        <f t="shared" ref="E218:F218" si="23">SUM(E216:E217)</f>
        <v>0</v>
      </c>
      <c r="F218" s="1125">
        <f t="shared" si="23"/>
        <v>0</v>
      </c>
    </row>
    <row r="219" spans="1:7" s="11" customFormat="1" ht="28.5">
      <c r="A219" s="1157" t="s">
        <v>24</v>
      </c>
      <c r="B219" s="913" t="s">
        <v>768</v>
      </c>
      <c r="C219" s="1322"/>
      <c r="D219" s="1322"/>
      <c r="E219" s="1322"/>
      <c r="F219" s="1323"/>
    </row>
    <row r="220" spans="1:7" s="11" customFormat="1" ht="21" customHeight="1">
      <c r="A220" s="1129"/>
      <c r="B220" s="906" t="s">
        <v>6</v>
      </c>
      <c r="C220" s="956">
        <v>0</v>
      </c>
      <c r="D220" s="956">
        <v>0</v>
      </c>
      <c r="E220" s="956">
        <v>0</v>
      </c>
      <c r="F220" s="956">
        <v>0</v>
      </c>
    </row>
    <row r="221" spans="1:7" s="11" customFormat="1" ht="21" customHeight="1">
      <c r="A221" s="326"/>
      <c r="B221" s="906" t="s">
        <v>162</v>
      </c>
      <c r="C221" s="956">
        <v>0</v>
      </c>
      <c r="D221" s="956">
        <v>0</v>
      </c>
      <c r="E221" s="956">
        <v>0</v>
      </c>
      <c r="F221" s="956">
        <v>0</v>
      </c>
    </row>
    <row r="222" spans="1:7" s="11" customFormat="1" ht="21" customHeight="1">
      <c r="A222" s="326"/>
      <c r="B222" s="814" t="s">
        <v>78</v>
      </c>
      <c r="C222" s="956">
        <v>0</v>
      </c>
      <c r="D222" s="956">
        <v>0</v>
      </c>
      <c r="E222" s="956">
        <v>0</v>
      </c>
      <c r="F222" s="956">
        <v>0</v>
      </c>
    </row>
    <row r="223" spans="1:7" s="11" customFormat="1" ht="21" customHeight="1">
      <c r="A223" s="326"/>
      <c r="B223" s="906" t="s">
        <v>13</v>
      </c>
      <c r="C223" s="956">
        <v>0</v>
      </c>
      <c r="D223" s="956">
        <v>0</v>
      </c>
      <c r="E223" s="956">
        <v>0</v>
      </c>
      <c r="F223" s="956">
        <v>0</v>
      </c>
    </row>
    <row r="224" spans="1:7" s="1150" customFormat="1" ht="21" customHeight="1">
      <c r="A224" s="1130"/>
      <c r="B224" s="1124" t="s">
        <v>102</v>
      </c>
      <c r="C224" s="1125">
        <f>SUM(C220:C223)</f>
        <v>0</v>
      </c>
      <c r="D224" s="1125">
        <f>SUM(D220:D223)</f>
        <v>0</v>
      </c>
      <c r="E224" s="1125">
        <f>SUM(E220:E223)</f>
        <v>0</v>
      </c>
      <c r="F224" s="1125">
        <f t="shared" ref="F224" si="24">SUM(F220:F223)</f>
        <v>0</v>
      </c>
    </row>
    <row r="225" spans="1:7" s="11" customFormat="1" ht="21" customHeight="1">
      <c r="A225" s="326"/>
      <c r="B225" s="906" t="s">
        <v>191</v>
      </c>
      <c r="C225" s="956">
        <v>20199</v>
      </c>
      <c r="D225" s="956">
        <f>C225</f>
        <v>20199</v>
      </c>
      <c r="E225" s="956">
        <v>0</v>
      </c>
      <c r="F225" s="956">
        <v>0</v>
      </c>
      <c r="G225" s="946">
        <f>C227+C224</f>
        <v>20199</v>
      </c>
    </row>
    <row r="226" spans="1:7" s="11" customFormat="1" ht="21" customHeight="1">
      <c r="A226" s="326"/>
      <c r="B226" s="906" t="s">
        <v>16</v>
      </c>
      <c r="C226" s="956">
        <v>0</v>
      </c>
      <c r="D226" s="956">
        <v>0</v>
      </c>
      <c r="E226" s="956">
        <v>0</v>
      </c>
      <c r="F226" s="956">
        <v>0</v>
      </c>
      <c r="G226" s="946">
        <f>'9'!C22</f>
        <v>69000</v>
      </c>
    </row>
    <row r="227" spans="1:7" s="1150" customFormat="1" ht="21" customHeight="1">
      <c r="A227" s="1126"/>
      <c r="B227" s="778" t="s">
        <v>556</v>
      </c>
      <c r="C227" s="1125">
        <f>C225+C226</f>
        <v>20199</v>
      </c>
      <c r="D227" s="1125">
        <f>D225+D226</f>
        <v>20199</v>
      </c>
      <c r="E227" s="1125">
        <f t="shared" ref="E227:F227" si="25">E225+E226</f>
        <v>0</v>
      </c>
      <c r="F227" s="1125">
        <f t="shared" si="25"/>
        <v>0</v>
      </c>
    </row>
    <row r="228" spans="1:7" s="11" customFormat="1" ht="21" customHeight="1">
      <c r="A228" s="1157" t="s">
        <v>25</v>
      </c>
      <c r="B228" s="977" t="s">
        <v>773</v>
      </c>
      <c r="C228" s="1322"/>
      <c r="D228" s="1322"/>
      <c r="E228" s="1322"/>
      <c r="F228" s="1323"/>
    </row>
    <row r="229" spans="1:7" s="11" customFormat="1" ht="21" customHeight="1">
      <c r="A229" s="1129"/>
      <c r="B229" s="906" t="s">
        <v>6</v>
      </c>
      <c r="C229" s="956">
        <v>0</v>
      </c>
      <c r="D229" s="956">
        <v>0</v>
      </c>
      <c r="E229" s="956">
        <v>0</v>
      </c>
      <c r="F229" s="956">
        <v>0</v>
      </c>
    </row>
    <row r="230" spans="1:7" s="11" customFormat="1" ht="21" customHeight="1">
      <c r="A230" s="326"/>
      <c r="B230" s="906" t="s">
        <v>162</v>
      </c>
      <c r="C230" s="956">
        <v>0</v>
      </c>
      <c r="D230" s="956">
        <v>0</v>
      </c>
      <c r="E230" s="956">
        <v>0</v>
      </c>
      <c r="F230" s="956">
        <v>0</v>
      </c>
    </row>
    <row r="231" spans="1:7" s="11" customFormat="1" ht="21" customHeight="1">
      <c r="A231" s="326"/>
      <c r="B231" s="814" t="s">
        <v>78</v>
      </c>
      <c r="C231" s="956">
        <v>1576</v>
      </c>
      <c r="D231" s="956">
        <v>1576</v>
      </c>
      <c r="E231" s="956">
        <v>0</v>
      </c>
      <c r="F231" s="956">
        <v>0</v>
      </c>
    </row>
    <row r="232" spans="1:7" s="11" customFormat="1" ht="21" customHeight="1">
      <c r="A232" s="326"/>
      <c r="B232" s="906" t="s">
        <v>13</v>
      </c>
      <c r="C232" s="956">
        <v>0</v>
      </c>
      <c r="D232" s="956">
        <v>0</v>
      </c>
      <c r="E232" s="956">
        <v>0</v>
      </c>
      <c r="F232" s="956">
        <v>0</v>
      </c>
    </row>
    <row r="233" spans="1:7" s="1150" customFormat="1" ht="21" customHeight="1">
      <c r="A233" s="1130"/>
      <c r="B233" s="1124" t="s">
        <v>102</v>
      </c>
      <c r="C233" s="1125">
        <f>SUM(C229:C232)</f>
        <v>1576</v>
      </c>
      <c r="D233" s="1125">
        <f>SUM(D229:D232)</f>
        <v>1576</v>
      </c>
      <c r="E233" s="1125">
        <f t="shared" ref="E233:F233" si="26">SUM(E229:E232)</f>
        <v>0</v>
      </c>
      <c r="F233" s="1125">
        <f t="shared" si="26"/>
        <v>0</v>
      </c>
    </row>
    <row r="234" spans="1:7" s="11" customFormat="1" ht="21" customHeight="1">
      <c r="A234" s="326"/>
      <c r="B234" s="906" t="s">
        <v>191</v>
      </c>
      <c r="C234" s="956">
        <f>'9'!C20</f>
        <v>28003</v>
      </c>
      <c r="D234" s="956">
        <f>'9'!D20</f>
        <v>28003</v>
      </c>
      <c r="E234" s="956">
        <v>0</v>
      </c>
      <c r="F234" s="956">
        <v>0</v>
      </c>
    </row>
    <row r="235" spans="1:7" s="11" customFormat="1" ht="21" customHeight="1">
      <c r="A235" s="326"/>
      <c r="B235" s="906" t="s">
        <v>16</v>
      </c>
      <c r="C235" s="956">
        <v>0</v>
      </c>
      <c r="D235" s="956">
        <v>0</v>
      </c>
      <c r="E235" s="956">
        <v>0</v>
      </c>
      <c r="F235" s="956">
        <v>0</v>
      </c>
    </row>
    <row r="236" spans="1:7" s="1150" customFormat="1" ht="21" customHeight="1">
      <c r="A236" s="1126"/>
      <c r="B236" s="778" t="s">
        <v>556</v>
      </c>
      <c r="C236" s="1125">
        <f>SUM(C234:C235)</f>
        <v>28003</v>
      </c>
      <c r="D236" s="1125">
        <f>SUM(D234:D235)</f>
        <v>28003</v>
      </c>
      <c r="E236" s="1125">
        <f t="shared" ref="E236:F236" si="27">SUM(E234:E235)</f>
        <v>0</v>
      </c>
      <c r="F236" s="1125">
        <f t="shared" si="27"/>
        <v>0</v>
      </c>
    </row>
    <row r="237" spans="1:7" s="11" customFormat="1" ht="21" customHeight="1">
      <c r="A237" s="1157" t="s">
        <v>26</v>
      </c>
      <c r="B237" s="977" t="s">
        <v>774</v>
      </c>
      <c r="C237" s="1322"/>
      <c r="D237" s="1322"/>
      <c r="E237" s="1322"/>
      <c r="F237" s="1323"/>
    </row>
    <row r="238" spans="1:7" s="11" customFormat="1" ht="21" customHeight="1">
      <c r="A238" s="1129"/>
      <c r="B238" s="906" t="s">
        <v>6</v>
      </c>
      <c r="C238" s="956">
        <v>0</v>
      </c>
      <c r="D238" s="956">
        <v>0</v>
      </c>
      <c r="E238" s="956">
        <v>0</v>
      </c>
      <c r="F238" s="956">
        <v>0</v>
      </c>
    </row>
    <row r="239" spans="1:7" s="11" customFormat="1" ht="21" customHeight="1">
      <c r="A239" s="326"/>
      <c r="B239" s="906" t="s">
        <v>162</v>
      </c>
      <c r="C239" s="956">
        <v>0</v>
      </c>
      <c r="D239" s="956">
        <v>0</v>
      </c>
      <c r="E239" s="956">
        <v>0</v>
      </c>
      <c r="F239" s="956">
        <v>0</v>
      </c>
    </row>
    <row r="240" spans="1:7" s="11" customFormat="1" ht="21" customHeight="1">
      <c r="A240" s="326"/>
      <c r="B240" s="814" t="s">
        <v>78</v>
      </c>
      <c r="C240" s="956">
        <f>10869+4202</f>
        <v>15071</v>
      </c>
      <c r="D240" s="956">
        <f>C240</f>
        <v>15071</v>
      </c>
      <c r="E240" s="956">
        <v>0</v>
      </c>
      <c r="F240" s="956">
        <v>0</v>
      </c>
    </row>
    <row r="241" spans="1:6" s="11" customFormat="1" ht="21" customHeight="1">
      <c r="A241" s="326"/>
      <c r="B241" s="906" t="s">
        <v>13</v>
      </c>
      <c r="C241" s="956">
        <v>0</v>
      </c>
      <c r="D241" s="956">
        <v>0</v>
      </c>
      <c r="E241" s="956">
        <v>0</v>
      </c>
      <c r="F241" s="956">
        <v>0</v>
      </c>
    </row>
    <row r="242" spans="1:6" s="11" customFormat="1" ht="21" customHeight="1">
      <c r="A242" s="326"/>
      <c r="B242" s="906" t="s">
        <v>102</v>
      </c>
      <c r="C242" s="956">
        <f>SUM(C238:C241)</f>
        <v>15071</v>
      </c>
      <c r="D242" s="956">
        <f t="shared" ref="D242:F242" si="28">SUM(D238:D241)</f>
        <v>15071</v>
      </c>
      <c r="E242" s="956">
        <f t="shared" si="28"/>
        <v>0</v>
      </c>
      <c r="F242" s="956">
        <f t="shared" si="28"/>
        <v>0</v>
      </c>
    </row>
    <row r="243" spans="1:6" s="11" customFormat="1" ht="21" customHeight="1">
      <c r="A243" s="326"/>
      <c r="B243" s="906" t="s">
        <v>191</v>
      </c>
      <c r="C243" s="956">
        <v>19843</v>
      </c>
      <c r="D243" s="956">
        <v>19843</v>
      </c>
      <c r="E243" s="956">
        <v>0</v>
      </c>
      <c r="F243" s="956">
        <v>0</v>
      </c>
    </row>
    <row r="244" spans="1:6" s="11" customFormat="1" ht="21" customHeight="1">
      <c r="A244" s="326"/>
      <c r="B244" s="906" t="s">
        <v>16</v>
      </c>
      <c r="C244" s="956">
        <v>0</v>
      </c>
      <c r="D244" s="956">
        <v>0</v>
      </c>
      <c r="E244" s="956">
        <v>0</v>
      </c>
      <c r="F244" s="956">
        <v>0</v>
      </c>
    </row>
    <row r="245" spans="1:6" s="11" customFormat="1" ht="21" customHeight="1">
      <c r="A245" s="160"/>
      <c r="B245" s="779" t="s">
        <v>556</v>
      </c>
      <c r="C245" s="956">
        <f>C243+C244</f>
        <v>19843</v>
      </c>
      <c r="D245" s="956">
        <f t="shared" ref="D245:F245" si="29">D243+D244</f>
        <v>19843</v>
      </c>
      <c r="E245" s="956">
        <f t="shared" si="29"/>
        <v>0</v>
      </c>
      <c r="F245" s="956">
        <f t="shared" si="29"/>
        <v>0</v>
      </c>
    </row>
    <row r="246" spans="1:6" s="11" customFormat="1" ht="28.5">
      <c r="A246" s="1157" t="s">
        <v>27</v>
      </c>
      <c r="B246" s="977" t="s">
        <v>776</v>
      </c>
      <c r="C246" s="1322"/>
      <c r="D246" s="1322"/>
      <c r="E246" s="1322"/>
      <c r="F246" s="1323"/>
    </row>
    <row r="247" spans="1:6" s="11" customFormat="1" ht="21" customHeight="1">
      <c r="A247" s="1129"/>
      <c r="B247" s="906" t="s">
        <v>6</v>
      </c>
      <c r="C247" s="956">
        <v>0</v>
      </c>
      <c r="D247" s="956">
        <v>0</v>
      </c>
      <c r="E247" s="956">
        <v>0</v>
      </c>
      <c r="F247" s="956">
        <v>0</v>
      </c>
    </row>
    <row r="248" spans="1:6" s="11" customFormat="1" ht="21" customHeight="1">
      <c r="A248" s="326"/>
      <c r="B248" s="906" t="s">
        <v>162</v>
      </c>
      <c r="C248" s="956">
        <v>0</v>
      </c>
      <c r="D248" s="956">
        <v>0</v>
      </c>
      <c r="E248" s="956">
        <v>0</v>
      </c>
      <c r="F248" s="956">
        <v>0</v>
      </c>
    </row>
    <row r="249" spans="1:6" s="11" customFormat="1" ht="21" customHeight="1">
      <c r="A249" s="326"/>
      <c r="B249" s="814" t="s">
        <v>78</v>
      </c>
      <c r="C249" s="956">
        <v>0</v>
      </c>
      <c r="D249" s="956">
        <v>0</v>
      </c>
      <c r="E249" s="956">
        <v>0</v>
      </c>
      <c r="F249" s="956">
        <v>0</v>
      </c>
    </row>
    <row r="250" spans="1:6" s="11" customFormat="1" ht="21" customHeight="1">
      <c r="A250" s="326"/>
      <c r="B250" s="906" t="s">
        <v>13</v>
      </c>
      <c r="C250" s="956">
        <v>0</v>
      </c>
      <c r="D250" s="956">
        <v>0</v>
      </c>
      <c r="E250" s="956">
        <v>0</v>
      </c>
      <c r="F250" s="956">
        <v>0</v>
      </c>
    </row>
    <row r="251" spans="1:6" s="1150" customFormat="1" ht="21" customHeight="1">
      <c r="A251" s="1130"/>
      <c r="B251" s="1124" t="s">
        <v>102</v>
      </c>
      <c r="C251" s="1125">
        <f>SUM(C247:C250)</f>
        <v>0</v>
      </c>
      <c r="D251" s="1125">
        <f t="shared" ref="D251:F251" si="30">SUM(D247:D250)</f>
        <v>0</v>
      </c>
      <c r="E251" s="1125">
        <f t="shared" si="30"/>
        <v>0</v>
      </c>
      <c r="F251" s="1125">
        <f t="shared" si="30"/>
        <v>0</v>
      </c>
    </row>
    <row r="252" spans="1:6" s="11" customFormat="1" ht="21" customHeight="1">
      <c r="A252" s="326"/>
      <c r="B252" s="906" t="s">
        <v>191</v>
      </c>
      <c r="C252" s="956">
        <v>0</v>
      </c>
      <c r="D252" s="956">
        <v>0</v>
      </c>
      <c r="E252" s="956">
        <v>0</v>
      </c>
      <c r="F252" s="956">
        <v>0</v>
      </c>
    </row>
    <row r="253" spans="1:6" s="11" customFormat="1" ht="21" customHeight="1">
      <c r="A253" s="326"/>
      <c r="B253" s="906" t="s">
        <v>16</v>
      </c>
      <c r="C253" s="956">
        <f>'9'!C49</f>
        <v>70000</v>
      </c>
      <c r="D253" s="956">
        <f>'9'!D49</f>
        <v>70000</v>
      </c>
      <c r="E253" s="956">
        <v>0</v>
      </c>
      <c r="F253" s="956">
        <v>0</v>
      </c>
    </row>
    <row r="254" spans="1:6" s="1150" customFormat="1" ht="21" customHeight="1" thickBot="1">
      <c r="A254" s="1126"/>
      <c r="B254" s="778" t="s">
        <v>556</v>
      </c>
      <c r="C254" s="1125">
        <f>C252+C253</f>
        <v>70000</v>
      </c>
      <c r="D254" s="1125">
        <f t="shared" ref="D254:F254" si="31">D252+D253</f>
        <v>70000</v>
      </c>
      <c r="E254" s="1125">
        <f t="shared" si="31"/>
        <v>0</v>
      </c>
      <c r="F254" s="1125">
        <f t="shared" si="31"/>
        <v>0</v>
      </c>
    </row>
    <row r="255" spans="1:6" s="11" customFormat="1" ht="21" hidden="1" customHeight="1">
      <c r="A255" s="916" t="s">
        <v>28</v>
      </c>
      <c r="B255" s="913"/>
      <c r="C255" s="1322"/>
      <c r="D255" s="1322"/>
      <c r="E255" s="1322"/>
      <c r="F255" s="1323"/>
    </row>
    <row r="256" spans="1:6" s="11" customFormat="1" ht="21" hidden="1" customHeight="1">
      <c r="A256" s="813"/>
      <c r="B256" s="906" t="s">
        <v>6</v>
      </c>
      <c r="C256" s="1077"/>
      <c r="D256" s="1077"/>
      <c r="E256" s="1077"/>
      <c r="F256" s="1078"/>
    </row>
    <row r="257" spans="1:7" s="11" customFormat="1" ht="21" hidden="1" customHeight="1">
      <c r="A257" s="813"/>
      <c r="B257" s="906" t="s">
        <v>162</v>
      </c>
      <c r="C257" s="1077"/>
      <c r="D257" s="1077"/>
      <c r="E257" s="1077"/>
      <c r="F257" s="1078"/>
    </row>
    <row r="258" spans="1:7" s="11" customFormat="1" ht="21" hidden="1" customHeight="1">
      <c r="A258" s="813"/>
      <c r="B258" s="814" t="s">
        <v>78</v>
      </c>
      <c r="C258" s="1077">
        <v>0</v>
      </c>
      <c r="D258" s="1077"/>
      <c r="E258" s="1077"/>
      <c r="F258" s="1078"/>
    </row>
    <row r="259" spans="1:7" s="11" customFormat="1" ht="21" hidden="1" customHeight="1">
      <c r="A259" s="813"/>
      <c r="B259" s="906" t="s">
        <v>13</v>
      </c>
      <c r="C259" s="1077"/>
      <c r="D259" s="1077"/>
      <c r="E259" s="1077"/>
      <c r="F259" s="1078"/>
    </row>
    <row r="260" spans="1:7" s="11" customFormat="1" ht="21" hidden="1" customHeight="1">
      <c r="A260" s="813"/>
      <c r="B260" s="906" t="s">
        <v>102</v>
      </c>
      <c r="C260" s="1077">
        <f>SUM(C256:C259)</f>
        <v>0</v>
      </c>
      <c r="D260" s="1077">
        <f>SUM(D256:D259)</f>
        <v>0</v>
      </c>
      <c r="E260" s="1077"/>
      <c r="F260" s="1078"/>
    </row>
    <row r="261" spans="1:7" s="11" customFormat="1" ht="21" hidden="1" customHeight="1">
      <c r="A261" s="813"/>
      <c r="B261" s="906" t="s">
        <v>191</v>
      </c>
      <c r="C261" s="1077"/>
      <c r="D261" s="1077"/>
      <c r="E261" s="1077"/>
      <c r="F261" s="1078"/>
    </row>
    <row r="262" spans="1:7" s="11" customFormat="1" ht="21" hidden="1" customHeight="1">
      <c r="A262" s="813"/>
      <c r="B262" s="906" t="s">
        <v>16</v>
      </c>
      <c r="C262" s="1077">
        <v>0</v>
      </c>
      <c r="D262" s="1077">
        <v>0</v>
      </c>
      <c r="E262" s="1077"/>
      <c r="F262" s="1078"/>
    </row>
    <row r="263" spans="1:7" s="11" customFormat="1" ht="21" hidden="1" customHeight="1">
      <c r="A263" s="813"/>
      <c r="B263" s="779" t="s">
        <v>556</v>
      </c>
      <c r="C263" s="1077">
        <f>C261+C262</f>
        <v>0</v>
      </c>
      <c r="D263" s="1077">
        <f>D261+D262</f>
        <v>0</v>
      </c>
      <c r="E263" s="1077"/>
      <c r="F263" s="1078"/>
    </row>
    <row r="264" spans="1:7" s="11" customFormat="1" ht="34.5" hidden="1" customHeight="1">
      <c r="A264" s="916" t="s">
        <v>29</v>
      </c>
      <c r="B264" s="977"/>
      <c r="C264" s="1322"/>
      <c r="D264" s="1322"/>
      <c r="E264" s="1322"/>
      <c r="F264" s="1323"/>
    </row>
    <row r="265" spans="1:7" s="11" customFormat="1" ht="21" hidden="1" customHeight="1">
      <c r="A265" s="813"/>
      <c r="B265" s="978" t="s">
        <v>6</v>
      </c>
      <c r="C265" s="1077"/>
      <c r="D265" s="1077"/>
      <c r="E265" s="1077"/>
      <c r="F265" s="1078"/>
    </row>
    <row r="266" spans="1:7" s="11" customFormat="1" ht="21" hidden="1" customHeight="1">
      <c r="A266" s="813"/>
      <c r="B266" s="978" t="s">
        <v>162</v>
      </c>
      <c r="C266" s="1077"/>
      <c r="D266" s="1077"/>
      <c r="E266" s="1077"/>
      <c r="F266" s="1078"/>
    </row>
    <row r="267" spans="1:7" s="11" customFormat="1" ht="21" hidden="1" customHeight="1">
      <c r="A267" s="813"/>
      <c r="B267" s="979" t="s">
        <v>78</v>
      </c>
      <c r="C267" s="1077">
        <v>0</v>
      </c>
      <c r="D267" s="1077"/>
      <c r="E267" s="1077"/>
      <c r="F267" s="1078"/>
    </row>
    <row r="268" spans="1:7" s="11" customFormat="1" ht="21" hidden="1" customHeight="1">
      <c r="A268" s="813"/>
      <c r="B268" s="978" t="s">
        <v>13</v>
      </c>
      <c r="C268" s="1077"/>
      <c r="D268" s="1077"/>
      <c r="E268" s="1077"/>
      <c r="F268" s="1078"/>
    </row>
    <row r="269" spans="1:7" s="11" customFormat="1" ht="21" hidden="1" customHeight="1">
      <c r="A269" s="813"/>
      <c r="B269" s="978" t="s">
        <v>102</v>
      </c>
      <c r="C269" s="1077"/>
      <c r="D269" s="1077"/>
      <c r="E269" s="1077"/>
      <c r="F269" s="1078"/>
      <c r="G269" s="946">
        <f>C269+C272</f>
        <v>0</v>
      </c>
    </row>
    <row r="270" spans="1:7" s="11" customFormat="1" ht="21" hidden="1" customHeight="1">
      <c r="A270" s="813"/>
      <c r="B270" s="978" t="s">
        <v>191</v>
      </c>
      <c r="C270" s="1077"/>
      <c r="D270" s="1077"/>
      <c r="E270" s="1077"/>
      <c r="F270" s="1078"/>
      <c r="G270" s="946"/>
    </row>
    <row r="271" spans="1:7" s="11" customFormat="1" ht="21" hidden="1" customHeight="1">
      <c r="A271" s="813"/>
      <c r="B271" s="978" t="s">
        <v>16</v>
      </c>
      <c r="C271" s="1077">
        <v>0</v>
      </c>
      <c r="D271" s="1077">
        <v>0</v>
      </c>
      <c r="E271" s="1077"/>
      <c r="F271" s="1078"/>
    </row>
    <row r="272" spans="1:7" s="11" customFormat="1" ht="21" hidden="1" customHeight="1">
      <c r="A272" s="1129"/>
      <c r="B272" s="1159" t="s">
        <v>556</v>
      </c>
      <c r="C272" s="1160">
        <f>C271</f>
        <v>0</v>
      </c>
      <c r="D272" s="1160">
        <f>D271</f>
        <v>0</v>
      </c>
      <c r="E272" s="1160"/>
      <c r="F272" s="1161"/>
    </row>
    <row r="273" spans="1:26" s="284" customFormat="1" ht="33" customHeight="1" thickBot="1">
      <c r="A273" s="1315" t="s">
        <v>64</v>
      </c>
      <c r="B273" s="1316"/>
      <c r="C273" s="1317"/>
      <c r="D273" s="1318"/>
      <c r="E273" s="1318"/>
      <c r="F273" s="1319"/>
    </row>
    <row r="274" spans="1:26" s="3" customFormat="1" ht="21" customHeight="1">
      <c r="A274" s="905"/>
      <c r="B274" s="1162" t="s">
        <v>6</v>
      </c>
      <c r="C274" s="1158">
        <f>C6+C15+C25+C34+C43+C52+C61+C80+C89+C99+C108+C117+C127+C137+C146+C156+C165+C174+C193+C202+C211+C220+C229+C238+C247+C256+C265+C183+C70</f>
        <v>61122.2</v>
      </c>
      <c r="D274" s="1158">
        <f t="shared" ref="D274:F274" si="32">D6+D15+D25+D34+D43+D52+D61+D80+D89+D99+D108+D117+D127+D137+D146+D156+D165+D174+D193+D202+D211+D220+D229+D238+D247+D256+D265+D183+D70</f>
        <v>57670</v>
      </c>
      <c r="E274" s="1158">
        <f t="shared" si="32"/>
        <v>3452.2</v>
      </c>
      <c r="F274" s="1158">
        <f t="shared" si="32"/>
        <v>0</v>
      </c>
    </row>
    <row r="275" spans="1:26" s="3" customFormat="1" ht="21" customHeight="1">
      <c r="A275" s="905"/>
      <c r="B275" s="988" t="s">
        <v>162</v>
      </c>
      <c r="C275" s="1158">
        <f t="shared" ref="C275:F275" si="33">C7+C16+C26+C35+C44+C53+C62+C81+C90+C100+C109+C118+C128+C138+C147+C157+C166+C175+C194+C203+C212+C221+C230+C239+C248+C257+C266+C184+C71</f>
        <v>12262.8</v>
      </c>
      <c r="D275" s="1158">
        <f t="shared" si="33"/>
        <v>10770</v>
      </c>
      <c r="E275" s="1158">
        <f t="shared" si="33"/>
        <v>1492.8</v>
      </c>
      <c r="F275" s="1158">
        <f t="shared" si="33"/>
        <v>0</v>
      </c>
    </row>
    <row r="276" spans="1:26" s="3" customFormat="1" ht="21" customHeight="1">
      <c r="A276" s="905"/>
      <c r="B276" s="988" t="s">
        <v>78</v>
      </c>
      <c r="C276" s="1158">
        <f t="shared" ref="C276:F276" si="34">C8+C17+C27+C36+C45+C54+C63+C82+C91+C101+C110+C119+C129+C139+C148+C158+C167+C176+C195+C204+C213+C222+C231+C240+C249+C258+C267+C185+C72</f>
        <v>386667</v>
      </c>
      <c r="D276" s="1158">
        <f t="shared" si="34"/>
        <v>254029.25</v>
      </c>
      <c r="E276" s="1158">
        <f t="shared" si="34"/>
        <v>132637.75</v>
      </c>
      <c r="F276" s="1158">
        <f t="shared" si="34"/>
        <v>0</v>
      </c>
    </row>
    <row r="277" spans="1:26" s="3" customFormat="1" ht="21" customHeight="1">
      <c r="A277" s="905"/>
      <c r="B277" s="988" t="s">
        <v>7</v>
      </c>
      <c r="C277" s="1158">
        <f t="shared" ref="C277:F277" si="35">C9+C18+C28+C37+C46+C55+C64+C83+C92+C102+C111+C120+C130+C140+C149+C159+C168+C177+C196+C205+C214+C223+C232+C241+C250+C259+C268+C186+C73</f>
        <v>38700</v>
      </c>
      <c r="D277" s="1158">
        <f t="shared" si="35"/>
        <v>9500</v>
      </c>
      <c r="E277" s="1158">
        <f t="shared" si="35"/>
        <v>29200</v>
      </c>
      <c r="F277" s="1158">
        <f t="shared" si="35"/>
        <v>0</v>
      </c>
    </row>
    <row r="278" spans="1:26" s="3" customFormat="1" ht="21" customHeight="1">
      <c r="A278" s="905"/>
      <c r="B278" s="988" t="s">
        <v>292</v>
      </c>
      <c r="C278" s="1158">
        <f>'10'!C5+'10'!C11+'10'!C14+'10'!C16+'10'!C17+'10'!C18+'11'!C16+'11'!C17+'10'!C19+'10'!C15</f>
        <v>882677</v>
      </c>
      <c r="D278" s="1158">
        <f>'11'!C16+'11'!C17</f>
        <v>805127</v>
      </c>
      <c r="E278" s="1158">
        <f>'10'!E18+'10'!E17+'10'!E16+'10'!E14+'10'!E11+'10'!E5+'10'!E19+'10'!E15</f>
        <v>77550</v>
      </c>
      <c r="F278" s="1158">
        <f>F10+F19+F29+F38+F47+F56+F65+F84+F93+F103+F112+F121+F131+F141+F150+F160+F169+F178+F197+F206+F215+F224</f>
        <v>0</v>
      </c>
      <c r="G278" s="520"/>
    </row>
    <row r="279" spans="1:26" s="3" customFormat="1" ht="21" customHeight="1">
      <c r="A279" s="905"/>
      <c r="B279" s="989" t="s">
        <v>190</v>
      </c>
      <c r="C279" s="1085">
        <f>SUM(C274:C278)</f>
        <v>1381429</v>
      </c>
      <c r="D279" s="1085">
        <f t="shared" ref="D279:F279" si="36">SUM(D274:D278)</f>
        <v>1137096.25</v>
      </c>
      <c r="E279" s="1085">
        <f t="shared" si="36"/>
        <v>244332.75</v>
      </c>
      <c r="F279" s="1085">
        <f t="shared" si="36"/>
        <v>0</v>
      </c>
    </row>
    <row r="280" spans="1:26" s="3" customFormat="1" ht="21" customHeight="1">
      <c r="A280" s="905"/>
      <c r="B280" s="988" t="s">
        <v>191</v>
      </c>
      <c r="C280" s="1086">
        <f>C11+C20+C30+C39+C48+C57+C66+C85+C94+C104+C113+C122+C132+C142+C151+C161+C170+C179+C198+C207+C216+C225+C270+C234+C243+C252+C261</f>
        <v>654321</v>
      </c>
      <c r="D280" s="1086">
        <f t="shared" ref="D280:F281" si="37">D11+D20+D30+D39+D48+D57+D66+D85+D94+D104+D113+D122+D132+D142+D151+D161+D170+D179+D198+D207+D216+D225+D270+D234+D243+D252+D261</f>
        <v>654321</v>
      </c>
      <c r="E280" s="1086">
        <f t="shared" si="37"/>
        <v>0</v>
      </c>
      <c r="F280" s="1086">
        <f t="shared" si="37"/>
        <v>0</v>
      </c>
    </row>
    <row r="281" spans="1:26" s="3" customFormat="1" ht="21" customHeight="1">
      <c r="A281" s="905"/>
      <c r="B281" s="988" t="s">
        <v>16</v>
      </c>
      <c r="C281" s="1086">
        <f>C12+C21+C31+C40+C49+C58+C67+C86+C95+C105+C114+C123+C133+C143+C152+C162+C171+C180+C199+C208+C217+C226+C271+C235+C244+C253+C262</f>
        <v>120000</v>
      </c>
      <c r="D281" s="1086">
        <f t="shared" si="37"/>
        <v>85000</v>
      </c>
      <c r="E281" s="1086">
        <f t="shared" si="37"/>
        <v>35000</v>
      </c>
      <c r="F281" s="1086">
        <f t="shared" si="37"/>
        <v>0</v>
      </c>
    </row>
    <row r="282" spans="1:26" s="3" customFormat="1" ht="21" customHeight="1">
      <c r="A282" s="905"/>
      <c r="B282" s="988" t="s">
        <v>192</v>
      </c>
      <c r="C282" s="1086">
        <f>'10'!C20</f>
        <v>151789</v>
      </c>
      <c r="D282" s="1086">
        <f>'10'!D20</f>
        <v>0</v>
      </c>
      <c r="E282" s="1086">
        <f>'10'!E20</f>
        <v>151789</v>
      </c>
      <c r="F282" s="1086">
        <f>F13+F22+F32+F41+F50+F59+F68+F87+F96+F106+F115+F124+F134+F144+F153+F163+F172+F181+F200+F209+F218+F227+F272</f>
        <v>0</v>
      </c>
    </row>
    <row r="283" spans="1:26" s="10" customFormat="1" ht="21" customHeight="1">
      <c r="A283" s="986"/>
      <c r="B283" s="989" t="s">
        <v>193</v>
      </c>
      <c r="C283" s="1087">
        <f>SUM(C280:C282)</f>
        <v>926110</v>
      </c>
      <c r="D283" s="1087">
        <f t="shared" ref="D283:F283" si="38">SUM(D280:D282)</f>
        <v>739321</v>
      </c>
      <c r="E283" s="1087">
        <f t="shared" si="38"/>
        <v>186789</v>
      </c>
      <c r="F283" s="1087">
        <f t="shared" si="38"/>
        <v>0</v>
      </c>
    </row>
    <row r="284" spans="1:26" s="3" customFormat="1" ht="21" customHeight="1">
      <c r="A284" s="905"/>
      <c r="B284" s="990" t="s">
        <v>290</v>
      </c>
      <c r="C284" s="1086">
        <v>0</v>
      </c>
      <c r="D284" s="1086">
        <v>0</v>
      </c>
      <c r="E284" s="1086">
        <v>0</v>
      </c>
      <c r="F284" s="1086">
        <v>0</v>
      </c>
      <c r="G284" s="908"/>
      <c r="H284" s="908"/>
      <c r="I284" s="908"/>
      <c r="J284" s="908"/>
      <c r="K284" s="908"/>
      <c r="L284" s="908"/>
      <c r="M284" s="908"/>
      <c r="N284" s="908"/>
      <c r="O284" s="908"/>
      <c r="P284" s="908"/>
      <c r="Q284" s="908"/>
      <c r="R284" s="908"/>
      <c r="S284" s="908"/>
      <c r="T284" s="908"/>
      <c r="U284" s="908"/>
      <c r="V284" s="908"/>
      <c r="W284" s="908"/>
      <c r="X284" s="908"/>
      <c r="Y284" s="908"/>
      <c r="Z284" s="908"/>
    </row>
    <row r="285" spans="1:26" s="3" customFormat="1" ht="21" customHeight="1">
      <c r="A285" s="905"/>
      <c r="B285" s="991" t="s">
        <v>291</v>
      </c>
      <c r="C285" s="1086">
        <v>0</v>
      </c>
      <c r="D285" s="1086">
        <v>0</v>
      </c>
      <c r="E285" s="1086">
        <v>0</v>
      </c>
      <c r="F285" s="1086">
        <v>0</v>
      </c>
      <c r="G285" s="909"/>
      <c r="H285" s="909"/>
      <c r="I285" s="909"/>
      <c r="J285" s="909"/>
      <c r="K285" s="909"/>
      <c r="L285" s="909"/>
      <c r="M285" s="909"/>
      <c r="N285" s="909"/>
      <c r="O285" s="909"/>
      <c r="P285" s="909"/>
      <c r="Q285" s="909"/>
      <c r="R285" s="909"/>
      <c r="S285" s="909"/>
      <c r="T285" s="909"/>
      <c r="U285" s="909"/>
      <c r="V285" s="909"/>
      <c r="W285" s="909"/>
      <c r="X285" s="909"/>
      <c r="Y285" s="909"/>
      <c r="Z285" s="909"/>
    </row>
    <row r="286" spans="1:26" s="10" customFormat="1" ht="21" customHeight="1" thickBot="1">
      <c r="A286" s="987"/>
      <c r="B286" s="992" t="s">
        <v>83</v>
      </c>
      <c r="C286" s="1088">
        <v>48618</v>
      </c>
      <c r="D286" s="1088">
        <f>C286</f>
        <v>48618</v>
      </c>
      <c r="E286" s="1088">
        <f t="shared" ref="E286" si="39">SUM(E284:E285)</f>
        <v>0</v>
      </c>
      <c r="F286" s="1088">
        <f t="shared" ref="F286" si="40">SUM(F284:F285)</f>
        <v>0</v>
      </c>
    </row>
    <row r="287" spans="1:26" s="289" customFormat="1" ht="33" customHeight="1" thickBot="1">
      <c r="A287" s="288"/>
      <c r="B287" s="378" t="s">
        <v>79</v>
      </c>
      <c r="C287" s="1089">
        <f>C279+C283+C286</f>
        <v>2356157</v>
      </c>
      <c r="D287" s="1089">
        <f t="shared" ref="D287:F287" si="41">D279+D283+D286</f>
        <v>1925035.25</v>
      </c>
      <c r="E287" s="1089">
        <f t="shared" si="41"/>
        <v>431121.75</v>
      </c>
      <c r="F287" s="1089">
        <f t="shared" si="41"/>
        <v>0</v>
      </c>
    </row>
    <row r="288" spans="1:26" s="7" customFormat="1" ht="17.25" customHeight="1">
      <c r="A288" s="20"/>
      <c r="B288" s="21"/>
      <c r="C288" s="960"/>
      <c r="D288" s="961" t="s">
        <v>55</v>
      </c>
      <c r="E288" s="961"/>
    </row>
    <row r="289" spans="5:5" ht="18.75" customHeight="1">
      <c r="E289" s="963" t="s">
        <v>55</v>
      </c>
    </row>
  </sheetData>
  <protectedRanges>
    <protectedRange sqref="E195:E196 C192:C199 D197:F199 C200:F272" name="Tartomány11_1"/>
  </protectedRanges>
  <mergeCells count="40">
    <mergeCell ref="G148:J148"/>
    <mergeCell ref="C107:F107"/>
    <mergeCell ref="A273:B273"/>
    <mergeCell ref="C273:F273"/>
    <mergeCell ref="C136:F136"/>
    <mergeCell ref="C192:F192"/>
    <mergeCell ref="C228:F228"/>
    <mergeCell ref="C264:F264"/>
    <mergeCell ref="C255:F255"/>
    <mergeCell ref="C237:F237"/>
    <mergeCell ref="C246:F246"/>
    <mergeCell ref="C201:F201"/>
    <mergeCell ref="C210:F210"/>
    <mergeCell ref="C219:F219"/>
    <mergeCell ref="C33:F33"/>
    <mergeCell ref="C135:F135"/>
    <mergeCell ref="C4:F4"/>
    <mergeCell ref="C5:F5"/>
    <mergeCell ref="C42:F42"/>
    <mergeCell ref="C51:F51"/>
    <mergeCell ref="C60:F60"/>
    <mergeCell ref="C98:F98"/>
    <mergeCell ref="C97:F97"/>
    <mergeCell ref="C88:F88"/>
    <mergeCell ref="A1:F1"/>
    <mergeCell ref="C191:F191"/>
    <mergeCell ref="C173:F173"/>
    <mergeCell ref="C164:F164"/>
    <mergeCell ref="C155:F155"/>
    <mergeCell ref="C154:F154"/>
    <mergeCell ref="C145:F145"/>
    <mergeCell ref="C126:F126"/>
    <mergeCell ref="C125:F125"/>
    <mergeCell ref="C116:F116"/>
    <mergeCell ref="C69:F69"/>
    <mergeCell ref="C79:F79"/>
    <mergeCell ref="C182:F182"/>
    <mergeCell ref="C78:F78"/>
    <mergeCell ref="C14:F14"/>
    <mergeCell ref="C24:F24"/>
  </mergeCells>
  <phoneticPr fontId="0" type="noConversion"/>
  <printOptions horizontalCentered="1"/>
  <pageMargins left="0.70866141732283472" right="0.70866141732283472" top="0.70866141732283472" bottom="0.78740157480314965" header="0.39370078740157483" footer="0.31496062992125984"/>
  <pageSetup paperSize="9" scale="35" fitToHeight="0" orientation="portrait" r:id="rId1"/>
  <headerFooter alignWithMargins="0">
    <oddHeader>&amp;L&amp;"Arial,Dőlt" 7. melléklet a  2/2020. (II.14.) önkormányzati rendelethez</oddHeader>
    <oddFooter xml:space="preserve">&amp;C&amp;9 </oddFooter>
  </headerFooter>
  <rowBreaks count="7" manualBreakCount="7">
    <brk id="41" max="5" man="1"/>
    <brk id="77" max="5" man="1"/>
    <brk id="115" max="5" man="1"/>
    <brk id="153" max="5" man="1"/>
    <brk id="190" max="5" man="1"/>
    <brk id="227" max="5" man="1"/>
    <brk id="263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H56"/>
  <sheetViews>
    <sheetView view="pageLayout" zoomScaleNormal="100" zoomScaleSheetLayoutView="100" workbookViewId="0">
      <selection activeCell="B8" sqref="B8"/>
    </sheetView>
  </sheetViews>
  <sheetFormatPr defaultColWidth="12.7109375" defaultRowHeight="15"/>
  <cols>
    <col min="1" max="1" width="8.5703125" style="134" customWidth="1"/>
    <col min="2" max="2" width="52" style="210" customWidth="1"/>
    <col min="3" max="3" width="16.7109375" style="208" bestFit="1" customWidth="1"/>
    <col min="4" max="4" width="16.140625" style="209" customWidth="1"/>
    <col min="5" max="5" width="14.28515625" style="209" bestFit="1" customWidth="1"/>
    <col min="6" max="6" width="13.140625" style="209" bestFit="1" customWidth="1"/>
    <col min="7" max="7" width="32.28515625" style="115" customWidth="1"/>
    <col min="8" max="16384" width="12.7109375" style="115"/>
  </cols>
  <sheetData>
    <row r="1" spans="1:7" s="198" customFormat="1" ht="29.25" customHeight="1">
      <c r="A1" s="1269" t="s">
        <v>273</v>
      </c>
      <c r="B1" s="1269"/>
      <c r="C1" s="1270"/>
      <c r="D1" s="1270"/>
      <c r="E1" s="1270"/>
      <c r="F1" s="1270"/>
    </row>
    <row r="2" spans="1:7" s="198" customFormat="1" ht="10.5" customHeight="1">
      <c r="A2" s="1054"/>
      <c r="B2" s="1054"/>
      <c r="C2" s="1055"/>
      <c r="D2" s="1055"/>
      <c r="E2" s="1055"/>
      <c r="F2" s="1065" t="s">
        <v>692</v>
      </c>
    </row>
    <row r="3" spans="1:7" s="199" customFormat="1" ht="40.15" customHeight="1">
      <c r="A3" s="872" t="s">
        <v>126</v>
      </c>
      <c r="B3" s="873" t="s">
        <v>37</v>
      </c>
      <c r="C3" s="874" t="s">
        <v>148</v>
      </c>
      <c r="D3" s="875" t="s">
        <v>165</v>
      </c>
      <c r="E3" s="875" t="s">
        <v>166</v>
      </c>
      <c r="F3" s="875" t="s">
        <v>161</v>
      </c>
    </row>
    <row r="4" spans="1:7" s="200" customFormat="1" ht="33" customHeight="1">
      <c r="A4" s="876" t="s">
        <v>146</v>
      </c>
      <c r="B4" s="877" t="s">
        <v>38</v>
      </c>
      <c r="C4" s="1327"/>
      <c r="D4" s="1328"/>
      <c r="E4" s="1328"/>
      <c r="F4" s="1328"/>
    </row>
    <row r="5" spans="1:7" s="201" customFormat="1" ht="27" customHeight="1">
      <c r="A5" s="878" t="s">
        <v>21</v>
      </c>
      <c r="B5" s="879" t="s">
        <v>42</v>
      </c>
      <c r="C5" s="1329"/>
      <c r="D5" s="1330"/>
      <c r="E5" s="1330"/>
      <c r="F5" s="1330"/>
    </row>
    <row r="6" spans="1:7" s="201" customFormat="1" ht="21" customHeight="1">
      <c r="A6" s="1163"/>
      <c r="B6" s="728" t="s">
        <v>6</v>
      </c>
      <c r="C6" s="793">
        <v>6610</v>
      </c>
      <c r="D6" s="793">
        <v>6610</v>
      </c>
      <c r="E6" s="793">
        <v>0</v>
      </c>
      <c r="F6" s="793">
        <v>0</v>
      </c>
      <c r="G6" s="201" t="s">
        <v>748</v>
      </c>
    </row>
    <row r="7" spans="1:7" s="201" customFormat="1" ht="21" customHeight="1">
      <c r="A7" s="1164"/>
      <c r="B7" s="728" t="s">
        <v>162</v>
      </c>
      <c r="C7" s="793">
        <v>1150</v>
      </c>
      <c r="D7" s="793">
        <v>1150</v>
      </c>
      <c r="E7" s="793">
        <v>0</v>
      </c>
      <c r="F7" s="793">
        <v>0</v>
      </c>
      <c r="G7" s="201" t="s">
        <v>747</v>
      </c>
    </row>
    <row r="8" spans="1:7" s="201" customFormat="1" ht="30">
      <c r="A8" s="1164"/>
      <c r="B8" s="728" t="s">
        <v>78</v>
      </c>
      <c r="C8" s="792">
        <v>275</v>
      </c>
      <c r="D8" s="792">
        <v>275</v>
      </c>
      <c r="E8" s="793">
        <v>0</v>
      </c>
      <c r="F8" s="793">
        <v>0</v>
      </c>
      <c r="G8" s="911" t="s">
        <v>703</v>
      </c>
    </row>
    <row r="9" spans="1:7" s="201" customFormat="1" ht="21" customHeight="1">
      <c r="A9" s="1164"/>
      <c r="B9" s="779" t="s">
        <v>7</v>
      </c>
      <c r="C9" s="792">
        <v>0</v>
      </c>
      <c r="D9" s="792">
        <v>0</v>
      </c>
      <c r="E9" s="793">
        <v>0</v>
      </c>
      <c r="F9" s="793">
        <v>0</v>
      </c>
    </row>
    <row r="10" spans="1:7" s="201" customFormat="1" ht="21" customHeight="1">
      <c r="A10" s="1164"/>
      <c r="B10" s="779" t="s">
        <v>189</v>
      </c>
      <c r="C10" s="792">
        <v>0</v>
      </c>
      <c r="D10" s="792">
        <v>0</v>
      </c>
      <c r="E10" s="793">
        <v>0</v>
      </c>
      <c r="F10" s="793">
        <v>0</v>
      </c>
    </row>
    <row r="11" spans="1:7" s="1167" customFormat="1" ht="21" customHeight="1">
      <c r="A11" s="1165"/>
      <c r="B11" s="778" t="s">
        <v>190</v>
      </c>
      <c r="C11" s="1166">
        <f>SUM(C6:C10)</f>
        <v>8035</v>
      </c>
      <c r="D11" s="1166">
        <f t="shared" ref="D11:F11" si="0">SUM(D6:D10)</f>
        <v>8035</v>
      </c>
      <c r="E11" s="1166">
        <f t="shared" si="0"/>
        <v>0</v>
      </c>
      <c r="F11" s="1166">
        <f t="shared" si="0"/>
        <v>0</v>
      </c>
    </row>
    <row r="12" spans="1:7" s="202" customFormat="1" ht="25.5" customHeight="1">
      <c r="A12" s="876" t="s">
        <v>147</v>
      </c>
      <c r="B12" s="880" t="s">
        <v>532</v>
      </c>
      <c r="C12" s="1333"/>
      <c r="D12" s="1328"/>
      <c r="E12" s="1328"/>
      <c r="F12" s="1328"/>
    </row>
    <row r="13" spans="1:7" s="201" customFormat="1" ht="26.25" customHeight="1">
      <c r="A13" s="878" t="s">
        <v>21</v>
      </c>
      <c r="B13" s="879" t="s">
        <v>54</v>
      </c>
      <c r="C13" s="1329"/>
      <c r="D13" s="1330"/>
      <c r="E13" s="1330"/>
      <c r="F13" s="1330"/>
    </row>
    <row r="14" spans="1:7" s="201" customFormat="1" ht="20.25" customHeight="1">
      <c r="A14" s="1163"/>
      <c r="B14" s="779" t="s">
        <v>6</v>
      </c>
      <c r="C14" s="1094">
        <v>310116</v>
      </c>
      <c r="D14" s="1094">
        <v>310116</v>
      </c>
      <c r="E14" s="794">
        <f>C14-D14</f>
        <v>0</v>
      </c>
      <c r="F14" s="794">
        <f>SUM(F12:F13)</f>
        <v>0</v>
      </c>
      <c r="G14" s="201" t="s">
        <v>749</v>
      </c>
    </row>
    <row r="15" spans="1:7" s="201" customFormat="1" ht="24.75" customHeight="1">
      <c r="A15" s="1164"/>
      <c r="B15" s="779" t="s">
        <v>162</v>
      </c>
      <c r="C15" s="1095">
        <v>64373</v>
      </c>
      <c r="D15" s="1094">
        <v>64373</v>
      </c>
      <c r="E15" s="794">
        <f>C15-D15</f>
        <v>0</v>
      </c>
      <c r="F15" s="794">
        <f>SUM(F12:F14)</f>
        <v>0</v>
      </c>
      <c r="G15" s="201" t="s">
        <v>749</v>
      </c>
    </row>
    <row r="16" spans="1:7" s="201" customFormat="1" ht="21" customHeight="1">
      <c r="A16" s="1164"/>
      <c r="B16" s="779" t="s">
        <v>78</v>
      </c>
      <c r="C16" s="794">
        <f>93000+2880+1382+310</f>
        <v>97572</v>
      </c>
      <c r="D16" s="794">
        <v>42000</v>
      </c>
      <c r="E16" s="794">
        <f>C16-D16</f>
        <v>55572</v>
      </c>
      <c r="F16" s="794">
        <f>SUM(F12:F15)</f>
        <v>0</v>
      </c>
    </row>
    <row r="17" spans="1:7" s="201" customFormat="1" ht="21" customHeight="1">
      <c r="A17" s="1164"/>
      <c r="B17" s="779" t="s">
        <v>7</v>
      </c>
      <c r="C17" s="794">
        <v>0</v>
      </c>
      <c r="D17" s="794">
        <v>0</v>
      </c>
      <c r="E17" s="794">
        <v>0</v>
      </c>
      <c r="F17" s="794">
        <f t="shared" ref="F17" si="1">SUM(F12:F16)</f>
        <v>0</v>
      </c>
    </row>
    <row r="18" spans="1:7" s="201" customFormat="1">
      <c r="A18" s="1164"/>
      <c r="B18" s="779" t="s">
        <v>189</v>
      </c>
      <c r="C18" s="794">
        <v>0</v>
      </c>
      <c r="D18" s="794">
        <v>0</v>
      </c>
      <c r="E18" s="794">
        <v>0</v>
      </c>
      <c r="F18" s="794">
        <f t="shared" ref="F18:F19" si="2">SUM(F13:F17)</f>
        <v>0</v>
      </c>
    </row>
    <row r="19" spans="1:7" s="201" customFormat="1" ht="24.95" customHeight="1">
      <c r="A19" s="1164"/>
      <c r="B19" s="778" t="s">
        <v>190</v>
      </c>
      <c r="C19" s="1168">
        <f>SUM(C14:C18)</f>
        <v>472061</v>
      </c>
      <c r="D19" s="1168">
        <f>SUM(D14:D18)</f>
        <v>416489</v>
      </c>
      <c r="E19" s="1168">
        <f t="shared" ref="E19" si="3">SUM(E14:E18)</f>
        <v>55572</v>
      </c>
      <c r="F19" s="1168">
        <f t="shared" si="2"/>
        <v>0</v>
      </c>
    </row>
    <row r="20" spans="1:7" s="201" customFormat="1">
      <c r="A20" s="1164"/>
      <c r="B20" s="779" t="s">
        <v>191</v>
      </c>
      <c r="C20" s="794">
        <f>'9'!C31</f>
        <v>9000</v>
      </c>
      <c r="D20" s="794">
        <f>'9'!D31</f>
        <v>0</v>
      </c>
      <c r="E20" s="794">
        <f>'9'!E31</f>
        <v>9000</v>
      </c>
      <c r="F20" s="792">
        <v>0</v>
      </c>
    </row>
    <row r="21" spans="1:7" s="201" customFormat="1" ht="16.5" customHeight="1">
      <c r="A21" s="1164"/>
      <c r="B21" s="779" t="s">
        <v>16</v>
      </c>
      <c r="C21" s="793">
        <f>'9'!C55</f>
        <v>0</v>
      </c>
      <c r="D21" s="793">
        <f>'9'!D55</f>
        <v>0</v>
      </c>
      <c r="E21" s="793">
        <f>'9'!E55</f>
        <v>0</v>
      </c>
      <c r="F21" s="792">
        <v>0</v>
      </c>
    </row>
    <row r="22" spans="1:7" s="201" customFormat="1" ht="21" customHeight="1">
      <c r="A22" s="1164"/>
      <c r="B22" s="779" t="s">
        <v>192</v>
      </c>
      <c r="C22" s="792">
        <v>0</v>
      </c>
      <c r="D22" s="792">
        <v>0</v>
      </c>
      <c r="E22" s="792">
        <v>0</v>
      </c>
      <c r="F22" s="792">
        <v>0</v>
      </c>
    </row>
    <row r="23" spans="1:7" s="1167" customFormat="1" ht="24.95" customHeight="1">
      <c r="A23" s="1165"/>
      <c r="B23" s="778" t="s">
        <v>193</v>
      </c>
      <c r="C23" s="1166">
        <f>SUM(C20:C22)</f>
        <v>9000</v>
      </c>
      <c r="D23" s="1166">
        <f t="shared" ref="D23:E23" si="4">SUM(D20:D22)</f>
        <v>0</v>
      </c>
      <c r="E23" s="1166">
        <f t="shared" si="4"/>
        <v>9000</v>
      </c>
      <c r="F23" s="1166">
        <f>SUM(F20:F22)</f>
        <v>0</v>
      </c>
    </row>
    <row r="24" spans="1:7" s="201" customFormat="1" ht="26.25" customHeight="1">
      <c r="A24" s="878" t="s">
        <v>22</v>
      </c>
      <c r="B24" s="879" t="s">
        <v>61</v>
      </c>
      <c r="C24" s="1329"/>
      <c r="D24" s="1330"/>
      <c r="E24" s="1330"/>
      <c r="F24" s="1330"/>
    </row>
    <row r="25" spans="1:7" s="201" customFormat="1" ht="21" customHeight="1">
      <c r="A25" s="1169"/>
      <c r="B25" s="779" t="s">
        <v>6</v>
      </c>
      <c r="C25" s="794">
        <v>0</v>
      </c>
      <c r="D25" s="794">
        <v>0</v>
      </c>
      <c r="E25" s="794">
        <v>0</v>
      </c>
      <c r="F25" s="794">
        <v>0</v>
      </c>
    </row>
    <row r="26" spans="1:7" s="201" customFormat="1" ht="21" customHeight="1">
      <c r="A26" s="1170"/>
      <c r="B26" s="779" t="s">
        <v>162</v>
      </c>
      <c r="C26" s="794">
        <v>0</v>
      </c>
      <c r="D26" s="794">
        <v>0</v>
      </c>
      <c r="E26" s="794">
        <v>0</v>
      </c>
      <c r="F26" s="794">
        <v>0</v>
      </c>
    </row>
    <row r="27" spans="1:7" s="201" customFormat="1" ht="21" customHeight="1">
      <c r="A27" s="1170"/>
      <c r="B27" s="779" t="s">
        <v>78</v>
      </c>
      <c r="C27" s="794">
        <v>300</v>
      </c>
      <c r="D27" s="794">
        <v>300</v>
      </c>
      <c r="E27" s="794">
        <v>0</v>
      </c>
      <c r="F27" s="794">
        <v>0</v>
      </c>
      <c r="G27" s="201" t="s">
        <v>701</v>
      </c>
    </row>
    <row r="28" spans="1:7" s="201" customFormat="1" ht="21" customHeight="1">
      <c r="A28" s="1170"/>
      <c r="B28" s="779" t="s">
        <v>7</v>
      </c>
      <c r="C28" s="794">
        <v>0</v>
      </c>
      <c r="D28" s="794">
        <v>0</v>
      </c>
      <c r="E28" s="794">
        <v>0</v>
      </c>
      <c r="F28" s="794">
        <v>0</v>
      </c>
    </row>
    <row r="29" spans="1:7" s="201" customFormat="1" ht="21" customHeight="1">
      <c r="A29" s="1170"/>
      <c r="B29" s="779" t="s">
        <v>189</v>
      </c>
      <c r="C29" s="794">
        <v>0</v>
      </c>
      <c r="D29" s="794">
        <v>0</v>
      </c>
      <c r="E29" s="794">
        <v>0</v>
      </c>
      <c r="F29" s="794">
        <v>0</v>
      </c>
    </row>
    <row r="30" spans="1:7" s="201" customFormat="1" ht="24.95" customHeight="1">
      <c r="A30" s="1171"/>
      <c r="B30" s="778" t="s">
        <v>190</v>
      </c>
      <c r="C30" s="1168">
        <f>SUM( C25:C29)</f>
        <v>300</v>
      </c>
      <c r="D30" s="1168">
        <f>SUM( D25:D29)</f>
        <v>300</v>
      </c>
      <c r="E30" s="1168">
        <f t="shared" ref="E30:F30" si="5">SUM( E25:E29)</f>
        <v>0</v>
      </c>
      <c r="F30" s="1168">
        <f t="shared" si="5"/>
        <v>0</v>
      </c>
    </row>
    <row r="31" spans="1:7" s="203" customFormat="1" ht="27.75" customHeight="1">
      <c r="A31" s="1331" t="s">
        <v>64</v>
      </c>
      <c r="B31" s="1331"/>
      <c r="C31" s="1332"/>
      <c r="D31" s="1328"/>
      <c r="E31" s="1328"/>
      <c r="F31" s="1328"/>
    </row>
    <row r="32" spans="1:7" s="201" customFormat="1" ht="23.1" customHeight="1">
      <c r="A32" s="1163"/>
      <c r="B32" s="779" t="s">
        <v>6</v>
      </c>
      <c r="C32" s="793">
        <f>C6+C14+C25</f>
        <v>316726</v>
      </c>
      <c r="D32" s="793">
        <f t="shared" ref="D32:E32" si="6">D6+D14+D25</f>
        <v>316726</v>
      </c>
      <c r="E32" s="793">
        <f t="shared" si="6"/>
        <v>0</v>
      </c>
      <c r="F32" s="793">
        <f t="shared" ref="F32" si="7">F6+F14+F25</f>
        <v>0</v>
      </c>
    </row>
    <row r="33" spans="1:8" s="201" customFormat="1" ht="23.1" customHeight="1">
      <c r="A33" s="1164"/>
      <c r="B33" s="779" t="s">
        <v>162</v>
      </c>
      <c r="C33" s="793">
        <f t="shared" ref="C33:E34" si="8">C7+C15+C26</f>
        <v>65523</v>
      </c>
      <c r="D33" s="793">
        <f t="shared" si="8"/>
        <v>65523</v>
      </c>
      <c r="E33" s="793">
        <f t="shared" si="8"/>
        <v>0</v>
      </c>
      <c r="F33" s="793">
        <f t="shared" ref="F33" si="9">F7+F15+F26</f>
        <v>0</v>
      </c>
    </row>
    <row r="34" spans="1:8" s="201" customFormat="1" ht="23.1" customHeight="1">
      <c r="A34" s="1164"/>
      <c r="B34" s="779" t="s">
        <v>78</v>
      </c>
      <c r="C34" s="793">
        <f t="shared" si="8"/>
        <v>98147</v>
      </c>
      <c r="D34" s="793">
        <f t="shared" si="8"/>
        <v>42575</v>
      </c>
      <c r="E34" s="793">
        <f t="shared" si="8"/>
        <v>55572</v>
      </c>
      <c r="F34" s="793">
        <f t="shared" ref="F34" si="10">F8+F16+F27</f>
        <v>0</v>
      </c>
    </row>
    <row r="35" spans="1:8" s="201" customFormat="1" ht="23.1" customHeight="1">
      <c r="A35" s="1164"/>
      <c r="B35" s="779" t="s">
        <v>7</v>
      </c>
      <c r="C35" s="793">
        <f t="shared" ref="C35:E35" si="11">C9+C17+C28</f>
        <v>0</v>
      </c>
      <c r="D35" s="793">
        <f t="shared" si="11"/>
        <v>0</v>
      </c>
      <c r="E35" s="793">
        <f t="shared" si="11"/>
        <v>0</v>
      </c>
      <c r="F35" s="793">
        <f t="shared" ref="F35" si="12">F9+F17+F28</f>
        <v>0</v>
      </c>
    </row>
    <row r="36" spans="1:8" s="201" customFormat="1" ht="23.1" customHeight="1">
      <c r="A36" s="1164"/>
      <c r="B36" s="779" t="s">
        <v>189</v>
      </c>
      <c r="C36" s="793">
        <f t="shared" ref="C36:E36" si="13">C10+C18+C29</f>
        <v>0</v>
      </c>
      <c r="D36" s="793">
        <f t="shared" si="13"/>
        <v>0</v>
      </c>
      <c r="E36" s="793">
        <f t="shared" si="13"/>
        <v>0</v>
      </c>
      <c r="F36" s="793">
        <f t="shared" ref="F36" si="14">F10+F18+F29</f>
        <v>0</v>
      </c>
    </row>
    <row r="37" spans="1:8" s="201" customFormat="1" ht="25.5" customHeight="1">
      <c r="A37" s="1164"/>
      <c r="B37" s="778" t="s">
        <v>190</v>
      </c>
      <c r="C37" s="795">
        <f>SUM(C32:C36)</f>
        <v>480396</v>
      </c>
      <c r="D37" s="795">
        <f t="shared" ref="D37:E37" si="15">SUM(D32:D36)</f>
        <v>424824</v>
      </c>
      <c r="E37" s="795">
        <f t="shared" si="15"/>
        <v>55572</v>
      </c>
      <c r="F37" s="795">
        <f t="shared" ref="F37" si="16">F11+F19+F30</f>
        <v>0</v>
      </c>
    </row>
    <row r="38" spans="1:8" s="201" customFormat="1" ht="23.1" customHeight="1">
      <c r="A38" s="1164"/>
      <c r="B38" s="779" t="s">
        <v>191</v>
      </c>
      <c r="C38" s="793">
        <f>C20</f>
        <v>9000</v>
      </c>
      <c r="D38" s="793">
        <f t="shared" ref="D38:E38" si="17">D20</f>
        <v>0</v>
      </c>
      <c r="E38" s="793">
        <f t="shared" si="17"/>
        <v>9000</v>
      </c>
      <c r="F38" s="793">
        <f t="shared" ref="F38" si="18">F12+F20+F31</f>
        <v>0</v>
      </c>
    </row>
    <row r="39" spans="1:8" s="201" customFormat="1" ht="23.1" customHeight="1">
      <c r="A39" s="1164"/>
      <c r="B39" s="779" t="s">
        <v>16</v>
      </c>
      <c r="C39" s="793">
        <f t="shared" ref="C39:E39" si="19">C21</f>
        <v>0</v>
      </c>
      <c r="D39" s="793">
        <f t="shared" si="19"/>
        <v>0</v>
      </c>
      <c r="E39" s="793">
        <f t="shared" si="19"/>
        <v>0</v>
      </c>
      <c r="F39" s="793">
        <f t="shared" ref="F39" si="20">F13+F21+F32</f>
        <v>0</v>
      </c>
    </row>
    <row r="40" spans="1:8" s="201" customFormat="1" ht="23.1" customHeight="1">
      <c r="A40" s="1164"/>
      <c r="B40" s="779" t="s">
        <v>192</v>
      </c>
      <c r="C40" s="793">
        <f t="shared" ref="C40:E40" si="21">C22</f>
        <v>0</v>
      </c>
      <c r="D40" s="793">
        <f t="shared" si="21"/>
        <v>0</v>
      </c>
      <c r="E40" s="793">
        <f t="shared" si="21"/>
        <v>0</v>
      </c>
      <c r="F40" s="793">
        <f t="shared" ref="F40" si="22">F14+F22+F33</f>
        <v>0</v>
      </c>
    </row>
    <row r="41" spans="1:8" s="201" customFormat="1" ht="18.75" customHeight="1">
      <c r="A41" s="1164"/>
      <c r="B41" s="778" t="s">
        <v>193</v>
      </c>
      <c r="C41" s="795">
        <f>SUM(C38:C40)</f>
        <v>9000</v>
      </c>
      <c r="D41" s="795">
        <f t="shared" ref="D41:E41" si="23">SUM(D38:D40)</f>
        <v>0</v>
      </c>
      <c r="E41" s="795">
        <f t="shared" si="23"/>
        <v>9000</v>
      </c>
      <c r="F41" s="795">
        <f t="shared" ref="F41" si="24">F15+F23+F34</f>
        <v>0</v>
      </c>
    </row>
    <row r="42" spans="1:8" s="201" customFormat="1" ht="23.1" customHeight="1">
      <c r="A42" s="1174"/>
      <c r="B42" s="779" t="s">
        <v>83</v>
      </c>
      <c r="C42" s="793">
        <v>0</v>
      </c>
      <c r="D42" s="793">
        <v>0</v>
      </c>
      <c r="E42" s="793">
        <v>0</v>
      </c>
      <c r="F42" s="793">
        <f t="shared" ref="F42" si="25">F16+F24+F35</f>
        <v>0</v>
      </c>
      <c r="H42" s="369"/>
    </row>
    <row r="43" spans="1:8" s="203" customFormat="1" ht="30.75" customHeight="1">
      <c r="A43" s="1172"/>
      <c r="B43" s="859" t="s">
        <v>79</v>
      </c>
      <c r="C43" s="1173">
        <f>C37+C41</f>
        <v>489396</v>
      </c>
      <c r="D43" s="1173">
        <f>D37+D41</f>
        <v>424824</v>
      </c>
      <c r="E43" s="1173">
        <f t="shared" ref="E43" si="26">E37+E41</f>
        <v>64572</v>
      </c>
      <c r="F43" s="1173">
        <f t="shared" ref="F43" si="27">F17+F25+F36</f>
        <v>0</v>
      </c>
      <c r="H43" s="370"/>
    </row>
    <row r="44" spans="1:8" s="136" customFormat="1" ht="17.25" customHeight="1">
      <c r="A44" s="113"/>
      <c r="B44" s="204"/>
      <c r="C44" s="205"/>
      <c r="D44" s="206"/>
      <c r="E44" s="206"/>
      <c r="F44" s="206"/>
    </row>
    <row r="45" spans="1:8" s="136" customFormat="1" ht="17.25" customHeight="1">
      <c r="A45" s="113"/>
      <c r="B45" s="207"/>
      <c r="C45" s="206" t="s">
        <v>55</v>
      </c>
      <c r="D45" s="206" t="s">
        <v>55</v>
      </c>
      <c r="E45" s="206"/>
    </row>
    <row r="46" spans="1:8" s="136" customFormat="1" ht="17.25" customHeight="1">
      <c r="A46" s="113"/>
      <c r="B46" s="207"/>
      <c r="C46" s="206"/>
      <c r="D46" s="206"/>
      <c r="E46" s="206"/>
      <c r="F46" s="206"/>
    </row>
    <row r="47" spans="1:8" ht="18.75" customHeight="1">
      <c r="B47" s="204"/>
    </row>
    <row r="48" spans="1:8" ht="18.75" customHeight="1"/>
    <row r="49" spans="1:6" ht="18.75" customHeight="1"/>
    <row r="50" spans="1:6" ht="18.75" customHeight="1"/>
    <row r="51" spans="1:6" ht="18.75" customHeight="1"/>
    <row r="52" spans="1:6" ht="18.75" customHeight="1">
      <c r="B52" s="204"/>
    </row>
    <row r="53" spans="1:6" s="136" customFormat="1" ht="51.75" customHeight="1">
      <c r="A53" s="113"/>
      <c r="B53" s="211"/>
      <c r="C53" s="205"/>
      <c r="D53" s="206"/>
      <c r="E53" s="206"/>
      <c r="F53" s="206"/>
    </row>
    <row r="54" spans="1:6" ht="27" customHeight="1"/>
    <row r="55" spans="1:6" ht="18.75" customHeight="1"/>
    <row r="56" spans="1:6" ht="18.75" customHeight="1"/>
  </sheetData>
  <mergeCells count="8">
    <mergeCell ref="A1:F1"/>
    <mergeCell ref="C4:F4"/>
    <mergeCell ref="C24:F24"/>
    <mergeCell ref="A31:B31"/>
    <mergeCell ref="C5:F5"/>
    <mergeCell ref="C31:F31"/>
    <mergeCell ref="C13:F13"/>
    <mergeCell ref="C12:F12"/>
  </mergeCells>
  <phoneticPr fontId="30" type="noConversion"/>
  <printOptions horizontalCentered="1"/>
  <pageMargins left="0.70866141732283472" right="0.70866141732283472" top="0.78740157480314965" bottom="0.78740157480314965" header="0.51181102362204722" footer="0.51181102362204722"/>
  <pageSetup paperSize="9" scale="49" fitToHeight="0" orientation="portrait" r:id="rId1"/>
  <headerFooter alignWithMargins="0">
    <oddHeader>&amp;L&amp;"Arial,Dőlt" &amp;U8. melléklet a  2/2020. (II.14.) önkormányzati rendelethez</oddHeader>
    <oddFooter xml:space="preserve">&amp;C&amp;9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/>
  </sheetPr>
  <dimension ref="A1:G64"/>
  <sheetViews>
    <sheetView view="pageLayout" zoomScaleNormal="100" zoomScaleSheetLayoutView="100" workbookViewId="0">
      <selection activeCell="B7" sqref="B7"/>
    </sheetView>
  </sheetViews>
  <sheetFormatPr defaultColWidth="9.140625" defaultRowHeight="15"/>
  <cols>
    <col min="1" max="1" width="5.28515625" style="115" customWidth="1"/>
    <col min="2" max="2" width="54.7109375" style="115" customWidth="1"/>
    <col min="3" max="3" width="16.28515625" style="212" customWidth="1"/>
    <col min="4" max="6" width="16.28515625" style="115" customWidth="1"/>
    <col min="7" max="7" width="16" style="115" customWidth="1"/>
    <col min="8" max="16384" width="9.140625" style="115"/>
  </cols>
  <sheetData>
    <row r="1" spans="1:6" ht="33" customHeight="1">
      <c r="A1" s="1338" t="s">
        <v>184</v>
      </c>
      <c r="B1" s="1338"/>
      <c r="C1" s="1339"/>
      <c r="D1" s="1339"/>
      <c r="E1" s="1339"/>
      <c r="F1" s="1339"/>
    </row>
    <row r="2" spans="1:6" ht="12" customHeight="1">
      <c r="A2" s="1270"/>
      <c r="B2" s="1270"/>
      <c r="C2" s="1270"/>
      <c r="D2" s="1270"/>
      <c r="E2" s="1270"/>
      <c r="F2" s="1270"/>
    </row>
    <row r="3" spans="1:6" ht="18.75" customHeight="1" thickBot="1">
      <c r="A3" s="1055"/>
      <c r="B3" s="1055"/>
      <c r="C3" s="1055"/>
      <c r="D3" s="1055"/>
      <c r="E3" s="1055"/>
      <c r="F3" s="1065" t="s">
        <v>692</v>
      </c>
    </row>
    <row r="4" spans="1:6" ht="47.25" customHeight="1">
      <c r="A4" s="1334" t="s">
        <v>185</v>
      </c>
      <c r="B4" s="1335"/>
      <c r="C4" s="519" t="s">
        <v>148</v>
      </c>
      <c r="D4" s="568" t="s">
        <v>165</v>
      </c>
      <c r="E4" s="568" t="s">
        <v>166</v>
      </c>
      <c r="F4" s="569" t="s">
        <v>161</v>
      </c>
    </row>
    <row r="5" spans="1:6" ht="36.950000000000003" customHeight="1">
      <c r="A5" s="657"/>
      <c r="B5" s="1344" t="s">
        <v>339</v>
      </c>
      <c r="C5" s="1344"/>
      <c r="D5" s="1344"/>
      <c r="E5" s="1344"/>
      <c r="F5" s="1341"/>
    </row>
    <row r="6" spans="1:6" ht="36.950000000000003" customHeight="1">
      <c r="A6" s="631" t="s">
        <v>21</v>
      </c>
      <c r="B6" s="796" t="s">
        <v>429</v>
      </c>
      <c r="C6" s="797">
        <f>SUM(C7:C9)</f>
        <v>0</v>
      </c>
      <c r="D6" s="797">
        <f>SUM(D7:D9)</f>
        <v>0</v>
      </c>
      <c r="E6" s="797">
        <f t="shared" ref="E6:F6" si="0">SUM(E7:E9)</f>
        <v>0</v>
      </c>
      <c r="F6" s="669">
        <f t="shared" si="0"/>
        <v>0</v>
      </c>
    </row>
    <row r="7" spans="1:6" ht="36.950000000000003" customHeight="1">
      <c r="A7" s="652"/>
      <c r="B7" s="798" t="s">
        <v>654</v>
      </c>
      <c r="C7" s="797">
        <v>0</v>
      </c>
      <c r="D7" s="797">
        <v>0</v>
      </c>
      <c r="E7" s="797">
        <v>0</v>
      </c>
      <c r="F7" s="669">
        <v>0</v>
      </c>
    </row>
    <row r="8" spans="1:6" ht="36.950000000000003" customHeight="1">
      <c r="A8" s="653"/>
      <c r="B8" s="799" t="s">
        <v>362</v>
      </c>
      <c r="C8" s="797">
        <v>0</v>
      </c>
      <c r="D8" s="797">
        <v>0</v>
      </c>
      <c r="E8" s="797">
        <v>0</v>
      </c>
      <c r="F8" s="669">
        <v>0</v>
      </c>
    </row>
    <row r="9" spans="1:6" ht="36.950000000000003" customHeight="1">
      <c r="A9" s="654"/>
      <c r="B9" s="799" t="s">
        <v>363</v>
      </c>
      <c r="C9" s="797">
        <v>0</v>
      </c>
      <c r="D9" s="797">
        <v>0</v>
      </c>
      <c r="E9" s="797">
        <v>0</v>
      </c>
      <c r="F9" s="669">
        <v>0</v>
      </c>
    </row>
    <row r="10" spans="1:6" ht="36.950000000000003" customHeight="1">
      <c r="A10" s="631" t="s">
        <v>22</v>
      </c>
      <c r="B10" s="796" t="s">
        <v>293</v>
      </c>
      <c r="C10" s="797">
        <v>0</v>
      </c>
      <c r="D10" s="797">
        <v>0</v>
      </c>
      <c r="E10" s="797">
        <v>0</v>
      </c>
      <c r="F10" s="669">
        <v>0</v>
      </c>
    </row>
    <row r="11" spans="1:6" ht="36.950000000000003" customHeight="1">
      <c r="A11" s="631" t="s">
        <v>23</v>
      </c>
      <c r="B11" s="800" t="s">
        <v>750</v>
      </c>
      <c r="C11" s="797">
        <v>1970</v>
      </c>
      <c r="D11" s="797">
        <v>1970</v>
      </c>
      <c r="E11" s="797">
        <v>0</v>
      </c>
      <c r="F11" s="669">
        <v>0</v>
      </c>
    </row>
    <row r="12" spans="1:6" ht="36.950000000000003" customHeight="1">
      <c r="A12" s="631" t="s">
        <v>24</v>
      </c>
      <c r="B12" s="796" t="s">
        <v>534</v>
      </c>
      <c r="C12" s="797">
        <f>SUM(C13:C16)</f>
        <v>4458</v>
      </c>
      <c r="D12" s="797">
        <f>SUM(D13:D16)</f>
        <v>4458</v>
      </c>
      <c r="E12" s="797">
        <f>SUM(E13:E16)</f>
        <v>0</v>
      </c>
      <c r="F12" s="669">
        <v>0</v>
      </c>
    </row>
    <row r="13" spans="1:6" ht="36.950000000000003" customHeight="1">
      <c r="A13" s="1175"/>
      <c r="B13" s="799" t="s">
        <v>662</v>
      </c>
      <c r="C13" s="801">
        <v>0</v>
      </c>
      <c r="D13" s="797">
        <v>0</v>
      </c>
      <c r="E13" s="797">
        <v>0</v>
      </c>
      <c r="F13" s="669">
        <v>0</v>
      </c>
    </row>
    <row r="14" spans="1:6" ht="36.950000000000003" customHeight="1">
      <c r="A14" s="653"/>
      <c r="B14" s="799" t="s">
        <v>663</v>
      </c>
      <c r="C14" s="801">
        <v>0</v>
      </c>
      <c r="D14" s="797">
        <v>0</v>
      </c>
      <c r="E14" s="797">
        <v>0</v>
      </c>
      <c r="F14" s="669">
        <v>0</v>
      </c>
    </row>
    <row r="15" spans="1:6" ht="36.950000000000003" customHeight="1">
      <c r="A15" s="653"/>
      <c r="B15" s="799" t="s">
        <v>668</v>
      </c>
      <c r="C15" s="801">
        <v>4458</v>
      </c>
      <c r="D15" s="801">
        <f>C15</f>
        <v>4458</v>
      </c>
      <c r="E15" s="797">
        <v>0</v>
      </c>
      <c r="F15" s="669">
        <v>0</v>
      </c>
    </row>
    <row r="16" spans="1:6" ht="36.950000000000003" customHeight="1">
      <c r="A16" s="654"/>
      <c r="B16" s="799" t="s">
        <v>666</v>
      </c>
      <c r="C16" s="801">
        <v>0</v>
      </c>
      <c r="D16" s="801">
        <v>0</v>
      </c>
      <c r="E16" s="797">
        <v>0</v>
      </c>
      <c r="F16" s="669">
        <v>0</v>
      </c>
    </row>
    <row r="17" spans="1:7" s="136" customFormat="1" ht="33" customHeight="1">
      <c r="A17" s="660"/>
      <c r="B17" s="802" t="s">
        <v>282</v>
      </c>
      <c r="C17" s="803">
        <f>SUM(C6,C10:C12)</f>
        <v>6428</v>
      </c>
      <c r="D17" s="803">
        <f>SUM(D6,D10:D12)</f>
        <v>6428</v>
      </c>
      <c r="E17" s="803">
        <f>SUM(E6,E10:E12)</f>
        <v>0</v>
      </c>
      <c r="F17" s="670">
        <f>SUM(F6,F10:F12)</f>
        <v>0</v>
      </c>
    </row>
    <row r="18" spans="1:7" ht="36.950000000000003" customHeight="1">
      <c r="A18" s="657"/>
      <c r="B18" s="1344" t="s">
        <v>278</v>
      </c>
      <c r="C18" s="1344"/>
      <c r="D18" s="1344"/>
      <c r="E18" s="1344"/>
      <c r="F18" s="1341"/>
    </row>
    <row r="19" spans="1:7" ht="49.9" customHeight="1">
      <c r="A19" s="659" t="s">
        <v>21</v>
      </c>
      <c r="B19" s="928" t="s">
        <v>781</v>
      </c>
      <c r="C19" s="797">
        <v>302905</v>
      </c>
      <c r="D19" s="797">
        <v>302905</v>
      </c>
      <c r="E19" s="804">
        <v>0</v>
      </c>
      <c r="F19" s="361">
        <v>0</v>
      </c>
    </row>
    <row r="20" spans="1:7" ht="30.75" customHeight="1">
      <c r="A20" s="659" t="s">
        <v>22</v>
      </c>
      <c r="B20" s="1097" t="s">
        <v>773</v>
      </c>
      <c r="C20" s="984">
        <v>28003</v>
      </c>
      <c r="D20" s="984">
        <v>28003</v>
      </c>
      <c r="E20" s="985">
        <v>0</v>
      </c>
      <c r="F20" s="361">
        <v>0</v>
      </c>
    </row>
    <row r="21" spans="1:7" ht="30.75" customHeight="1">
      <c r="A21" s="659" t="s">
        <v>23</v>
      </c>
      <c r="B21" s="1097" t="s">
        <v>774</v>
      </c>
      <c r="C21" s="984">
        <v>19843</v>
      </c>
      <c r="D21" s="984">
        <f>C21</f>
        <v>19843</v>
      </c>
      <c r="E21" s="985">
        <v>0</v>
      </c>
      <c r="F21" s="361">
        <v>0</v>
      </c>
    </row>
    <row r="22" spans="1:7" ht="33" customHeight="1">
      <c r="A22" s="659" t="s">
        <v>24</v>
      </c>
      <c r="B22" s="983" t="s">
        <v>718</v>
      </c>
      <c r="C22" s="797">
        <v>69000</v>
      </c>
      <c r="D22" s="797">
        <f>C22</f>
        <v>69000</v>
      </c>
      <c r="E22" s="804">
        <v>0</v>
      </c>
      <c r="F22" s="361">
        <v>0</v>
      </c>
    </row>
    <row r="23" spans="1:7" ht="33" customHeight="1">
      <c r="A23" s="659" t="s">
        <v>25</v>
      </c>
      <c r="B23" s="983" t="s">
        <v>767</v>
      </c>
      <c r="C23" s="984">
        <v>214371</v>
      </c>
      <c r="D23" s="984">
        <v>214371</v>
      </c>
      <c r="E23" s="985">
        <v>0</v>
      </c>
      <c r="F23" s="361">
        <v>0</v>
      </c>
    </row>
    <row r="24" spans="1:7" ht="33" customHeight="1">
      <c r="A24" s="659" t="s">
        <v>26</v>
      </c>
      <c r="B24" s="983" t="s">
        <v>768</v>
      </c>
      <c r="C24" s="984">
        <v>20199</v>
      </c>
      <c r="D24" s="984">
        <f>C24</f>
        <v>20199</v>
      </c>
      <c r="E24" s="985">
        <v>0</v>
      </c>
      <c r="F24" s="361">
        <v>0</v>
      </c>
    </row>
    <row r="25" spans="1:7" ht="33" hidden="1" customHeight="1">
      <c r="A25" s="659" t="s">
        <v>25</v>
      </c>
      <c r="B25" s="805"/>
      <c r="C25" s="797"/>
      <c r="D25" s="797"/>
      <c r="E25" s="804"/>
      <c r="F25" s="361"/>
    </row>
    <row r="26" spans="1:7" s="136" customFormat="1" ht="33" customHeight="1">
      <c r="A26" s="660"/>
      <c r="B26" s="802" t="s">
        <v>282</v>
      </c>
      <c r="C26" s="806">
        <f>SUM(C19:C25)</f>
        <v>654321</v>
      </c>
      <c r="D26" s="806">
        <f>SUM(D19:D25)</f>
        <v>654321</v>
      </c>
      <c r="E26" s="806">
        <f>SUM(E19:E25)</f>
        <v>0</v>
      </c>
      <c r="F26" s="807">
        <f>SUM(F19:F25)</f>
        <v>0</v>
      </c>
    </row>
    <row r="27" spans="1:7" ht="30.75" customHeight="1">
      <c r="A27" s="662"/>
      <c r="B27" s="1344" t="s">
        <v>188</v>
      </c>
      <c r="C27" s="1344"/>
      <c r="D27" s="1344"/>
      <c r="E27" s="1344"/>
      <c r="F27" s="1341"/>
    </row>
    <row r="28" spans="1:7" ht="46.5" customHeight="1">
      <c r="A28" s="659" t="s">
        <v>21</v>
      </c>
      <c r="B28" s="805" t="s">
        <v>109</v>
      </c>
      <c r="C28" s="808">
        <f>5800+700</f>
        <v>6500</v>
      </c>
      <c r="D28" s="804">
        <v>0</v>
      </c>
      <c r="E28" s="808">
        <f>C28</f>
        <v>6500</v>
      </c>
      <c r="F28" s="361">
        <v>0</v>
      </c>
      <c r="G28" s="500" t="s">
        <v>714</v>
      </c>
    </row>
    <row r="29" spans="1:7" ht="46.5" customHeight="1">
      <c r="A29" s="659" t="s">
        <v>22</v>
      </c>
      <c r="B29" s="805" t="s">
        <v>715</v>
      </c>
      <c r="C29" s="808">
        <v>500</v>
      </c>
      <c r="D29" s="804">
        <v>0</v>
      </c>
      <c r="E29" s="808">
        <f t="shared" ref="E29:E30" si="1">C29</f>
        <v>500</v>
      </c>
      <c r="F29" s="361">
        <v>0</v>
      </c>
      <c r="G29" s="973"/>
    </row>
    <row r="30" spans="1:7" ht="26.45" customHeight="1">
      <c r="A30" s="659" t="s">
        <v>23</v>
      </c>
      <c r="B30" s="805" t="s">
        <v>557</v>
      </c>
      <c r="C30" s="808">
        <v>2000</v>
      </c>
      <c r="D30" s="804">
        <v>0</v>
      </c>
      <c r="E30" s="808">
        <f t="shared" si="1"/>
        <v>2000</v>
      </c>
      <c r="F30" s="361">
        <v>0</v>
      </c>
      <c r="G30" s="115" t="s">
        <v>676</v>
      </c>
    </row>
    <row r="31" spans="1:7" s="136" customFormat="1" ht="33" customHeight="1">
      <c r="A31" s="660"/>
      <c r="B31" s="802" t="s">
        <v>282</v>
      </c>
      <c r="C31" s="809">
        <f>SUM(C28:C30)</f>
        <v>9000</v>
      </c>
      <c r="D31" s="809">
        <f>SUM(D28:D30)</f>
        <v>0</v>
      </c>
      <c r="E31" s="809">
        <f>SUM(E28:E30)</f>
        <v>9000</v>
      </c>
      <c r="F31" s="664">
        <f>SUM(F28:F30)</f>
        <v>0</v>
      </c>
    </row>
    <row r="32" spans="1:7" ht="39" customHeight="1" thickBot="1">
      <c r="A32" s="665"/>
      <c r="B32" s="666" t="s">
        <v>186</v>
      </c>
      <c r="C32" s="667">
        <f>C17+C26+C31</f>
        <v>669749</v>
      </c>
      <c r="D32" s="667">
        <f>D17+D26+D31</f>
        <v>660749</v>
      </c>
      <c r="E32" s="667">
        <f>E17+E26+E31</f>
        <v>9000</v>
      </c>
      <c r="F32" s="668">
        <f>F17+F26+F31</f>
        <v>0</v>
      </c>
    </row>
    <row r="33" spans="1:6" ht="35.25" customHeight="1" thickBot="1">
      <c r="A33" s="1336" t="s">
        <v>279</v>
      </c>
      <c r="B33" s="1337"/>
      <c r="C33" s="565" t="s">
        <v>86</v>
      </c>
      <c r="D33" s="152" t="s">
        <v>165</v>
      </c>
      <c r="E33" s="152" t="s">
        <v>166</v>
      </c>
      <c r="F33" s="790" t="s">
        <v>161</v>
      </c>
    </row>
    <row r="34" spans="1:6" ht="36.950000000000003" customHeight="1">
      <c r="A34" s="651"/>
      <c r="B34" s="1342" t="s">
        <v>339</v>
      </c>
      <c r="C34" s="1342"/>
      <c r="D34" s="1342"/>
      <c r="E34" s="1342"/>
      <c r="F34" s="1343"/>
    </row>
    <row r="35" spans="1:6" ht="36.950000000000003" customHeight="1">
      <c r="A35" s="631" t="s">
        <v>21</v>
      </c>
      <c r="B35" s="510" t="s">
        <v>429</v>
      </c>
      <c r="C35" s="432">
        <f>SUM(C36:C38)</f>
        <v>0</v>
      </c>
      <c r="D35" s="432">
        <f t="shared" ref="D35:F35" si="2">SUM(D36:D38)</f>
        <v>0</v>
      </c>
      <c r="E35" s="432">
        <f t="shared" si="2"/>
        <v>0</v>
      </c>
      <c r="F35" s="361">
        <f t="shared" si="2"/>
        <v>0</v>
      </c>
    </row>
    <row r="36" spans="1:6" ht="31.5">
      <c r="A36" s="652"/>
      <c r="B36" s="714" t="s">
        <v>679</v>
      </c>
      <c r="C36" s="936">
        <v>0</v>
      </c>
      <c r="D36" s="936">
        <v>0</v>
      </c>
      <c r="E36" s="432">
        <v>0</v>
      </c>
      <c r="F36" s="361">
        <v>0</v>
      </c>
    </row>
    <row r="37" spans="1:6" ht="24" customHeight="1">
      <c r="A37" s="653"/>
      <c r="B37" s="511" t="s">
        <v>362</v>
      </c>
      <c r="C37" s="432">
        <v>0</v>
      </c>
      <c r="D37" s="432">
        <v>0</v>
      </c>
      <c r="E37" s="432">
        <v>0</v>
      </c>
      <c r="F37" s="361">
        <v>0</v>
      </c>
    </row>
    <row r="38" spans="1:6" ht="20.25" customHeight="1">
      <c r="A38" s="654"/>
      <c r="B38" s="511" t="s">
        <v>363</v>
      </c>
      <c r="C38" s="881">
        <v>0</v>
      </c>
      <c r="D38" s="432">
        <v>0</v>
      </c>
      <c r="E38" s="432">
        <v>0</v>
      </c>
      <c r="F38" s="361">
        <v>0</v>
      </c>
    </row>
    <row r="39" spans="1:6" ht="31.5">
      <c r="A39" s="631" t="s">
        <v>22</v>
      </c>
      <c r="B39" s="713" t="s">
        <v>763</v>
      </c>
      <c r="C39" s="432">
        <v>18000</v>
      </c>
      <c r="D39" s="432">
        <v>18000</v>
      </c>
      <c r="E39" s="432">
        <v>0</v>
      </c>
      <c r="F39" s="361">
        <v>0</v>
      </c>
    </row>
    <row r="40" spans="1:6" ht="36.950000000000003" customHeight="1">
      <c r="A40" s="631" t="s">
        <v>23</v>
      </c>
      <c r="B40" s="713" t="s">
        <v>764</v>
      </c>
      <c r="C40" s="432">
        <v>2824</v>
      </c>
      <c r="D40" s="432">
        <v>2824</v>
      </c>
      <c r="E40" s="432">
        <v>0</v>
      </c>
      <c r="F40" s="361">
        <v>0</v>
      </c>
    </row>
    <row r="41" spans="1:6" ht="36.950000000000003" customHeight="1">
      <c r="A41" s="631" t="s">
        <v>24</v>
      </c>
      <c r="B41" s="510" t="s">
        <v>534</v>
      </c>
      <c r="C41" s="432">
        <f>SUM(C42:C45)</f>
        <v>0</v>
      </c>
      <c r="D41" s="432">
        <f>SUM(D42:D45)</f>
        <v>0</v>
      </c>
      <c r="E41" s="432">
        <v>0</v>
      </c>
      <c r="F41" s="361">
        <v>0</v>
      </c>
    </row>
    <row r="42" spans="1:6" ht="29.25" customHeight="1">
      <c r="A42" s="1175"/>
      <c r="B42" s="799" t="s">
        <v>662</v>
      </c>
      <c r="C42" s="804">
        <v>0</v>
      </c>
      <c r="D42" s="804">
        <v>0</v>
      </c>
      <c r="E42" s="804">
        <v>0</v>
      </c>
      <c r="F42" s="361">
        <v>0</v>
      </c>
    </row>
    <row r="43" spans="1:6" ht="28.5" customHeight="1">
      <c r="A43" s="653"/>
      <c r="B43" s="799" t="s">
        <v>667</v>
      </c>
      <c r="C43" s="945">
        <v>0</v>
      </c>
      <c r="D43" s="945">
        <v>0</v>
      </c>
      <c r="E43" s="804">
        <v>0</v>
      </c>
      <c r="F43" s="361">
        <v>0</v>
      </c>
    </row>
    <row r="44" spans="1:6" ht="36.950000000000003" customHeight="1">
      <c r="A44" s="653"/>
      <c r="B44" s="799" t="s">
        <v>664</v>
      </c>
      <c r="C44" s="804">
        <v>0</v>
      </c>
      <c r="D44" s="804">
        <v>0</v>
      </c>
      <c r="E44" s="804">
        <v>0</v>
      </c>
      <c r="F44" s="361">
        <v>0</v>
      </c>
    </row>
    <row r="45" spans="1:6" ht="36.950000000000003" customHeight="1">
      <c r="A45" s="654"/>
      <c r="B45" s="799" t="s">
        <v>665</v>
      </c>
      <c r="C45" s="804">
        <v>0</v>
      </c>
      <c r="D45" s="804">
        <v>0</v>
      </c>
      <c r="E45" s="804">
        <v>0</v>
      </c>
      <c r="F45" s="361">
        <v>0</v>
      </c>
    </row>
    <row r="46" spans="1:6" s="213" customFormat="1" ht="33" customHeight="1">
      <c r="A46" s="655"/>
      <c r="B46" s="436" t="s">
        <v>282</v>
      </c>
      <c r="C46" s="437">
        <f>C35+C39+C40+C41</f>
        <v>20824</v>
      </c>
      <c r="D46" s="437">
        <f t="shared" ref="D46:F46" si="3">D35+D39+D40+D41</f>
        <v>20824</v>
      </c>
      <c r="E46" s="437">
        <f t="shared" si="3"/>
        <v>0</v>
      </c>
      <c r="F46" s="656">
        <f t="shared" si="3"/>
        <v>0</v>
      </c>
    </row>
    <row r="47" spans="1:6" ht="36.950000000000003" customHeight="1">
      <c r="A47" s="657"/>
      <c r="B47" s="567" t="s">
        <v>278</v>
      </c>
      <c r="C47" s="438"/>
      <c r="D47" s="439"/>
      <c r="E47" s="439"/>
      <c r="F47" s="658"/>
    </row>
    <row r="48" spans="1:6" ht="33" customHeight="1">
      <c r="A48" s="659" t="s">
        <v>21</v>
      </c>
      <c r="B48" s="717" t="s">
        <v>112</v>
      </c>
      <c r="C48" s="432">
        <v>35000</v>
      </c>
      <c r="D48" s="432">
        <v>0</v>
      </c>
      <c r="E48" s="432">
        <v>35000</v>
      </c>
      <c r="F48" s="361">
        <v>0</v>
      </c>
    </row>
    <row r="49" spans="1:7" ht="33" customHeight="1">
      <c r="A49" s="659" t="s">
        <v>22</v>
      </c>
      <c r="B49" s="805" t="s">
        <v>776</v>
      </c>
      <c r="C49" s="797">
        <v>70000</v>
      </c>
      <c r="D49" s="797">
        <f>C49</f>
        <v>70000</v>
      </c>
      <c r="E49" s="804">
        <v>0</v>
      </c>
      <c r="F49" s="361">
        <v>0</v>
      </c>
    </row>
    <row r="50" spans="1:7" ht="33" customHeight="1">
      <c r="A50" s="659" t="s">
        <v>23</v>
      </c>
      <c r="B50" s="983" t="s">
        <v>719</v>
      </c>
      <c r="C50" s="984">
        <v>15000</v>
      </c>
      <c r="D50" s="797">
        <f>C50</f>
        <v>15000</v>
      </c>
      <c r="E50" s="985">
        <v>0</v>
      </c>
      <c r="F50" s="361">
        <v>0</v>
      </c>
    </row>
    <row r="51" spans="1:7" ht="33" hidden="1" customHeight="1">
      <c r="A51" s="659" t="s">
        <v>24</v>
      </c>
      <c r="B51" s="983"/>
      <c r="C51" s="984">
        <v>0</v>
      </c>
      <c r="D51" s="797">
        <v>0</v>
      </c>
      <c r="E51" s="985"/>
      <c r="F51" s="361"/>
    </row>
    <row r="52" spans="1:7" s="136" customFormat="1" ht="33" customHeight="1">
      <c r="A52" s="660"/>
      <c r="B52" s="431" t="s">
        <v>282</v>
      </c>
      <c r="C52" s="433">
        <f>SUM(C48:C51)</f>
        <v>120000</v>
      </c>
      <c r="D52" s="433">
        <f t="shared" ref="D52:E52" si="4">SUM(D48:D51)</f>
        <v>85000</v>
      </c>
      <c r="E52" s="433">
        <f t="shared" si="4"/>
        <v>35000</v>
      </c>
      <c r="F52" s="661">
        <f>SUM(F48)</f>
        <v>0</v>
      </c>
    </row>
    <row r="53" spans="1:7" ht="36.950000000000003" customHeight="1">
      <c r="A53" s="662"/>
      <c r="B53" s="1340" t="s">
        <v>188</v>
      </c>
      <c r="C53" s="1340"/>
      <c r="D53" s="1340"/>
      <c r="E53" s="1340"/>
      <c r="F53" s="1341"/>
    </row>
    <row r="54" spans="1:7" ht="26.45" customHeight="1">
      <c r="A54" s="631" t="s">
        <v>21</v>
      </c>
      <c r="B54" s="510" t="s">
        <v>423</v>
      </c>
      <c r="C54" s="434">
        <v>0</v>
      </c>
      <c r="D54" s="1176">
        <v>0</v>
      </c>
      <c r="E54" s="434">
        <v>0</v>
      </c>
      <c r="F54" s="663">
        <v>0</v>
      </c>
      <c r="G54" s="115" t="s">
        <v>702</v>
      </c>
    </row>
    <row r="55" spans="1:7" s="136" customFormat="1" ht="33" customHeight="1">
      <c r="A55" s="655"/>
      <c r="B55" s="436" t="s">
        <v>282</v>
      </c>
      <c r="C55" s="435">
        <f>SUM(C54:C54)</f>
        <v>0</v>
      </c>
      <c r="D55" s="435">
        <f>SUM(D54:D54)</f>
        <v>0</v>
      </c>
      <c r="E55" s="435">
        <f>SUM(E54:E54)</f>
        <v>0</v>
      </c>
      <c r="F55" s="664">
        <f>SUM(F54:F54)</f>
        <v>0</v>
      </c>
    </row>
    <row r="56" spans="1:7" ht="39" customHeight="1" thickBot="1">
      <c r="A56" s="665"/>
      <c r="B56" s="666" t="s">
        <v>187</v>
      </c>
      <c r="C56" s="667">
        <f>C55+C52+C46</f>
        <v>140824</v>
      </c>
      <c r="D56" s="667">
        <f>D55+D52+D46</f>
        <v>105824</v>
      </c>
      <c r="E56" s="667">
        <f>E55+E52+E46</f>
        <v>35000</v>
      </c>
      <c r="F56" s="668">
        <f>F55+F52+F46</f>
        <v>0</v>
      </c>
    </row>
    <row r="57" spans="1:7" ht="25.5" customHeight="1"/>
    <row r="58" spans="1:7">
      <c r="C58" s="115"/>
    </row>
    <row r="59" spans="1:7">
      <c r="C59" s="115"/>
    </row>
    <row r="60" spans="1:7">
      <c r="C60" s="115"/>
    </row>
    <row r="61" spans="1:7">
      <c r="C61" s="115"/>
    </row>
    <row r="62" spans="1:7">
      <c r="C62" s="115"/>
    </row>
    <row r="63" spans="1:7">
      <c r="C63" s="115"/>
    </row>
    <row r="64" spans="1:7">
      <c r="C64" s="115"/>
    </row>
  </sheetData>
  <mergeCells count="8">
    <mergeCell ref="A4:B4"/>
    <mergeCell ref="A33:B33"/>
    <mergeCell ref="A1:F2"/>
    <mergeCell ref="B53:F53"/>
    <mergeCell ref="B34:F34"/>
    <mergeCell ref="B27:F27"/>
    <mergeCell ref="B18:F18"/>
    <mergeCell ref="B5:F5"/>
  </mergeCells>
  <phoneticPr fontId="5" type="noConversion"/>
  <printOptions horizontalCentered="1"/>
  <pageMargins left="0.70866141732283472" right="0.70866141732283472" top="0.51181102362204722" bottom="0.78740157480314965" header="0.35433070866141736" footer="0.51181102362204722"/>
  <pageSetup paperSize="9" scale="60" orientation="portrait" r:id="rId1"/>
  <headerFooter alignWithMargins="0">
    <oddHeader>&amp;L&amp;"Arial,Dőlt"&amp;U 9. melléklet a  2/2020. (II.14.) önkormányzati rendelethez</oddHeader>
  </headerFooter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22</vt:i4>
      </vt:variant>
      <vt:variant>
        <vt:lpstr>Névvel ellátott tartományok</vt:lpstr>
      </vt:variant>
      <vt:variant>
        <vt:i4>23</vt:i4>
      </vt:variant>
    </vt:vector>
  </HeadingPairs>
  <TitlesOfParts>
    <vt:vector size="4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t1</vt:lpstr>
      <vt:lpstr>t2</vt:lpstr>
      <vt:lpstr>t3</vt:lpstr>
      <vt:lpstr>t4</vt:lpstr>
      <vt:lpstr>t5</vt:lpstr>
      <vt:lpstr>t6-támogatások forintban</vt:lpstr>
      <vt:lpstr>Munka1</vt:lpstr>
      <vt:lpstr>'10'!Nyomtatási_cím</vt:lpstr>
      <vt:lpstr>'3'!Nyomtatási_cím</vt:lpstr>
      <vt:lpstr>'4'!Nyomtatási_cím</vt:lpstr>
      <vt:lpstr>'6'!Nyomtatási_cím</vt:lpstr>
      <vt:lpstr>'7'!Nyomtatási_cím</vt:lpstr>
      <vt:lpstr>'8'!Nyomtatási_cím</vt:lpstr>
      <vt:lpstr>'10'!Nyomtatási_terület</vt:lpstr>
      <vt:lpstr>'11'!Nyomtatási_terület</vt:lpstr>
      <vt:lpstr>'12'!Nyomtatási_terület</vt:lpstr>
      <vt:lpstr>'13'!Nyomtatási_terület</vt:lpstr>
      <vt:lpstr>'14'!Nyomtatási_terület</vt:lpstr>
      <vt:lpstr>'2'!Nyomtatási_terület</vt:lpstr>
      <vt:lpstr>'3'!Nyomtatási_terület</vt:lpstr>
      <vt:lpstr>'4'!Nyomtatási_terület</vt:lpstr>
      <vt:lpstr>'5'!Nyomtatási_terület</vt:lpstr>
      <vt:lpstr>'6'!Nyomtatási_terület</vt:lpstr>
      <vt:lpstr>'7'!Nyomtatási_terület</vt:lpstr>
      <vt:lpstr>'8'!Nyomtatási_terület</vt:lpstr>
      <vt:lpstr>'9'!Nyomtatási_terület</vt:lpstr>
      <vt:lpstr>'t1'!Nyomtatási_terület</vt:lpstr>
      <vt:lpstr>'t2'!Nyomtatási_terület</vt:lpstr>
      <vt:lpstr>'t5'!Nyomtatási_terület</vt:lpstr>
      <vt:lpstr>'t6-támogatások forintban'!Nyomtatási_terület</vt:lpstr>
    </vt:vector>
  </TitlesOfParts>
  <Company>Pohi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Péter</dc:creator>
  <cp:lastModifiedBy>Koroknainé</cp:lastModifiedBy>
  <cp:lastPrinted>2020-02-14T08:51:11Z</cp:lastPrinted>
  <dcterms:created xsi:type="dcterms:W3CDTF">2009-11-18T16:00:30Z</dcterms:created>
  <dcterms:modified xsi:type="dcterms:W3CDTF">2020-02-14T08:54:21Z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-9967459</vt:i4>
  </property>
  <property fmtid="{D5CDD505-2E9C-101B-9397-08002B2CF9AE}" pid="3" name="_EmailSubject">
    <vt:lpwstr>2010</vt:lpwstr>
  </property>
  <property fmtid="{D5CDD505-2E9C-101B-9397-08002B2CF9AE}" pid="4" name="_AuthorEmail">
    <vt:lpwstr>kiss-peter@nagykoros.hu</vt:lpwstr>
  </property>
  <property fmtid="{D5CDD505-2E9C-101B-9397-08002B2CF9AE}" pid="5" name="_AuthorEmailDisplayName">
    <vt:lpwstr>Polgármesteri Hivatal Nagykőrös Pénzügyi Irodavezető</vt:lpwstr>
  </property>
  <property fmtid="{D5CDD505-2E9C-101B-9397-08002B2CF9AE}" pid="6" name="_ReviewingToolsShownOnce">
    <vt:lpwstr/>
  </property>
</Properties>
</file>